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IZKAIA\"/>
    </mc:Choice>
  </mc:AlternateContent>
  <workbookProtection workbookAlgorithmName="SHA-512" workbookHashValue="gU7taz3XSdrv6uwN0be3i57Q/80KL+Uv1YQOLU86FMiEyRVPFsdaCkwA06JNYEBeNqDjD0oeddE66KT6CvcyAw==" workbookSaltValue="+07UmTa46uaeMMTiCM7mm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BF17" i="8" s="1"/>
  <c r="AZ17" i="8"/>
  <c r="AY17" i="8"/>
  <c r="BB16" i="8"/>
  <c r="BA16" i="8"/>
  <c r="AZ16" i="8"/>
  <c r="AY16" i="8"/>
  <c r="BB12" i="8"/>
  <c r="BA12" i="8"/>
  <c r="AZ12" i="8"/>
  <c r="AY12" i="8"/>
  <c r="BB11" i="8"/>
  <c r="BA11" i="8"/>
  <c r="AZ11" i="8"/>
  <c r="AY11" i="8"/>
  <c r="BB9" i="8"/>
  <c r="BA9" i="8"/>
  <c r="BD9" i="8" s="1"/>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S14" i="16"/>
  <c r="P14" i="16"/>
  <c r="F13" i="16"/>
  <c r="Z14" i="17"/>
  <c r="R30" i="17"/>
  <c r="K26" i="2"/>
  <c r="N26" i="2"/>
  <c r="M23" i="2"/>
  <c r="K30" i="2"/>
  <c r="F30" i="17"/>
  <c r="F26" i="17"/>
  <c r="F14" i="7"/>
  <c r="T14" i="20"/>
  <c r="BB26" i="13"/>
  <c r="AH14" i="16"/>
  <c r="AO14" i="2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G30" i="14"/>
  <c r="G23" i="14"/>
  <c r="U18" i="11"/>
  <c r="AX32" i="20"/>
  <c r="L32" i="20"/>
  <c r="AG32" i="20"/>
  <c r="T32" i="21"/>
  <c r="AF32" i="20"/>
  <c r="K32" i="20"/>
  <c r="O17" i="11"/>
  <c r="AJ32" i="20"/>
  <c r="Y32" i="20"/>
  <c r="H32" i="20"/>
  <c r="F32" i="20"/>
  <c r="G26" i="14"/>
  <c r="S32" i="20"/>
  <c r="AQ32" i="21"/>
  <c r="BF16" i="8" l="1"/>
  <c r="F16" i="11"/>
  <c r="AQ16" i="11" s="1"/>
  <c r="R8" i="9"/>
  <c r="R13" i="17"/>
  <c r="P13" i="14"/>
  <c r="BG17" i="13"/>
  <c r="X12" i="21"/>
  <c r="AP17" i="20"/>
  <c r="BH9" i="16"/>
  <c r="BL19" i="11"/>
  <c r="V16" i="11"/>
  <c r="T9"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BH30" i="16"/>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S10" i="14"/>
  <c r="V10" i="14" s="1"/>
  <c r="S13" i="14"/>
  <c r="V13" i="14" s="1"/>
  <c r="S21" i="14"/>
  <c r="V21" i="14" s="1"/>
  <c r="S18" i="14"/>
  <c r="V18" i="14" s="1"/>
  <c r="S28" i="14"/>
  <c r="V28" i="14"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J13" i="10" s="1"/>
  <c r="L13" i="10" s="1"/>
  <c r="F19" i="2"/>
  <c r="F12" i="2"/>
  <c r="BF9" i="8"/>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K17" i="12" s="1"/>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AA32" i="20"/>
  <c r="AN32" i="20"/>
  <c r="AD32" i="20"/>
  <c r="AC32" i="20"/>
  <c r="AV32" i="20"/>
  <c r="O10" i="11"/>
  <c r="AP32" i="20"/>
  <c r="U17" i="11"/>
  <c r="W32" i="21"/>
  <c r="AQ32" i="20"/>
  <c r="T32" i="20"/>
  <c r="K16" i="12" l="1"/>
  <c r="K9" i="12"/>
  <c r="BF13" i="11"/>
  <c r="BG25" i="11"/>
  <c r="BH16" i="16"/>
  <c r="Q18" i="20"/>
  <c r="Q23" i="20" s="1"/>
  <c r="BF28" i="11"/>
  <c r="BF18" i="11"/>
  <c r="BG20" i="11"/>
  <c r="BG22" i="11"/>
  <c r="BK29" i="11"/>
  <c r="AZ19" i="11"/>
  <c r="V12" i="21"/>
  <c r="BK11" i="11"/>
  <c r="AZ18" i="11"/>
  <c r="AP10" i="21"/>
  <c r="AP21" i="20"/>
  <c r="BH20" i="16"/>
  <c r="BJ11" i="11"/>
  <c r="BH22" i="16"/>
  <c r="R10" i="21"/>
  <c r="BJ20" i="11"/>
  <c r="BG16" i="11"/>
  <c r="BH13" i="11"/>
  <c r="BL13" i="11"/>
  <c r="BH18" i="11"/>
  <c r="BM16" i="11"/>
  <c r="AO28" i="17"/>
  <c r="BJ25" i="11"/>
  <c r="AZ16" i="11"/>
  <c r="AZ23" i="11" s="1"/>
  <c r="BU16" i="17"/>
  <c r="BW19" i="20"/>
  <c r="X20" i="16"/>
  <c r="BU10" i="17"/>
  <c r="BW25" i="20"/>
  <c r="BU22" i="17"/>
  <c r="U13" i="17"/>
  <c r="BU20" i="17"/>
  <c r="BW29" i="20"/>
  <c r="BW22" i="20"/>
  <c r="BV29" i="16"/>
  <c r="BW21" i="20"/>
  <c r="BV9" i="16"/>
  <c r="S28" i="17"/>
  <c r="AZ17" i="11"/>
  <c r="T16" i="11"/>
  <c r="BG12" i="11"/>
  <c r="Q18" i="17"/>
  <c r="BI20" i="11"/>
  <c r="BH10" i="11"/>
  <c r="BI9" i="11"/>
  <c r="AQ10" i="21"/>
  <c r="BL28" i="11"/>
  <c r="AO29" i="17"/>
  <c r="BL10" i="11"/>
  <c r="S10" i="17"/>
  <c r="BH10" i="16"/>
  <c r="BI29" i="11"/>
  <c r="BH11" i="11"/>
  <c r="BG17" i="11"/>
  <c r="S18" i="17"/>
  <c r="BM21" i="11"/>
  <c r="BM9" i="11"/>
  <c r="AO25" i="17"/>
  <c r="BH12" i="16"/>
  <c r="BJ17" i="11"/>
  <c r="BK22" i="11"/>
  <c r="BL17" i="11"/>
  <c r="BH22" i="11"/>
  <c r="L10" i="2"/>
  <c r="L28" i="2"/>
  <c r="X21" i="20"/>
  <c r="L16" i="2"/>
  <c r="L17" i="2"/>
  <c r="L18" i="2"/>
  <c r="X16" i="16"/>
  <c r="X23" i="16" s="1"/>
  <c r="AA11" i="16"/>
  <c r="L9" i="2"/>
  <c r="V25" i="16"/>
  <c r="BJ22" i="11"/>
  <c r="BJ18" i="11"/>
  <c r="BG10" i="11"/>
  <c r="BF21" i="11"/>
  <c r="R25" i="14"/>
  <c r="BM18" i="11"/>
  <c r="S17" i="17"/>
  <c r="V11" i="16"/>
  <c r="V25" i="11"/>
  <c r="BF10" i="11"/>
  <c r="V11" i="11"/>
  <c r="BM12" i="11"/>
  <c r="V9" i="11"/>
  <c r="BJ16" i="11"/>
  <c r="AP16" i="20"/>
  <c r="V20" i="11"/>
  <c r="BG19" i="11"/>
  <c r="BL29" i="11"/>
  <c r="BW20" i="20"/>
  <c r="BV18" i="16"/>
  <c r="BV12" i="16"/>
  <c r="BV16" i="16"/>
  <c r="U10" i="17"/>
  <c r="BU18" i="17"/>
  <c r="BU12" i="17"/>
  <c r="S25" i="17"/>
  <c r="AZ11" i="11"/>
  <c r="P16" i="17"/>
  <c r="P23" i="17" s="1"/>
  <c r="P31" i="17" s="1"/>
  <c r="BF12" i="11"/>
  <c r="BH25" i="16"/>
  <c r="BK20" i="11"/>
  <c r="BK23" i="11" s="1"/>
  <c r="BJ10" i="11"/>
  <c r="Q16" i="17"/>
  <c r="Q23" i="17" s="1"/>
  <c r="Q31" i="17" s="1"/>
  <c r="BF16" i="11"/>
  <c r="BL22" i="11"/>
  <c r="BI22" i="11"/>
  <c r="BK10" i="11"/>
  <c r="X12" i="17"/>
  <c r="X22" i="16"/>
  <c r="L12" i="2"/>
  <c r="X10" i="21"/>
  <c r="L20" i="2"/>
  <c r="V10" i="16"/>
  <c r="V9" i="16"/>
  <c r="X13" i="16"/>
  <c r="BM17" i="11"/>
  <c r="BF17" i="11"/>
  <c r="P17" i="11" s="1"/>
  <c r="BL12" i="11"/>
  <c r="BK21" i="11"/>
  <c r="BI25" i="11"/>
  <c r="V13" i="11"/>
  <c r="BI19" i="11"/>
  <c r="AP22" i="20"/>
  <c r="BL25" i="11"/>
  <c r="Q25" i="11" s="1"/>
  <c r="AZ9" i="11"/>
  <c r="T16" i="16"/>
  <c r="BV19" i="16"/>
  <c r="BV23" i="16" s="1"/>
  <c r="BV26" i="16" s="1"/>
  <c r="BV30" i="16" s="1"/>
  <c r="BW18" i="20"/>
  <c r="BW12" i="20"/>
  <c r="BW16" i="20"/>
  <c r="BV10" i="16"/>
  <c r="V12" i="16"/>
  <c r="S22" i="17"/>
  <c r="BF20" i="11"/>
  <c r="S16" i="16"/>
  <c r="S23" i="16" s="1"/>
  <c r="BL20" i="11"/>
  <c r="BL16" i="11"/>
  <c r="BH21" i="11"/>
  <c r="AZ25" i="11"/>
  <c r="AZ30" i="11" s="1"/>
  <c r="BK17" i="11"/>
  <c r="BH17" i="11"/>
  <c r="BH23" i="11" s="1"/>
  <c r="AQ12" i="21"/>
  <c r="BH25" i="11"/>
  <c r="BI21" i="11"/>
  <c r="L22" i="2"/>
  <c r="S16" i="17"/>
  <c r="X19" i="16"/>
  <c r="U9" i="17"/>
  <c r="U31" i="17" s="1"/>
  <c r="I16" i="12"/>
  <c r="BF23" i="13"/>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S23" i="16"/>
  <c r="BS26" i="16" s="1"/>
  <c r="AD14" i="16"/>
  <c r="AD31" i="16" s="1"/>
  <c r="Q14" i="16"/>
  <c r="X14" i="16"/>
  <c r="R30" i="16"/>
  <c r="I30" i="16"/>
  <c r="AS23" i="16"/>
  <c r="AZ14" i="16"/>
  <c r="AN26" i="16"/>
  <c r="AN31" i="16" s="1"/>
  <c r="AW31" i="11"/>
  <c r="Q17" i="11"/>
  <c r="F30" i="11"/>
  <c r="Y13" i="11"/>
  <c r="W26" i="11"/>
  <c r="AP13" i="11"/>
  <c r="AC17" i="11"/>
  <c r="M26" i="11"/>
  <c r="K14" i="11"/>
  <c r="N22" i="11"/>
  <c r="N23" i="11" s="1"/>
  <c r="Q23" i="11" s="1"/>
  <c r="AZ10" i="11"/>
  <c r="AT23" i="11"/>
  <c r="AT26" i="11" s="1"/>
  <c r="M14" i="11"/>
  <c r="L14" i="11"/>
  <c r="AP17" i="11"/>
  <c r="Z23" i="11"/>
  <c r="AB14" i="11"/>
  <c r="AQ13" i="11"/>
  <c r="M30" i="11"/>
  <c r="AI30" i="11"/>
  <c r="AK26" i="11"/>
  <c r="P20"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V32" i="21"/>
  <c r="O12" i="11"/>
  <c r="H32" i="17"/>
  <c r="AW32" i="11"/>
  <c r="AQ17" i="11" l="1"/>
  <c r="P12" i="11"/>
  <c r="BJ23" i="11"/>
  <c r="R14" i="21"/>
  <c r="R31" i="21"/>
  <c r="AZ31" i="11"/>
  <c r="AZ14" i="11"/>
  <c r="AZ26"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AY32" i="2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I32" i="21"/>
  <c r="U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12" l="1"/>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<sst xmlns="http://schemas.openxmlformats.org/spreadsheetml/2006/main" count="2668" uniqueCount="1193">
  <si>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</si>
  <si>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</si>
  <si>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</si>
  <si>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</si>
  <si>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</si>
  <si>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</si>
  <si>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</si>
  <si>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</si>
  <si>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</si>
  <si>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</si>
  <si>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</si>
  <si>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</si>
  <si>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</si>
  <si>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</si>
  <si>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</si>
  <si>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</si>
  <si>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</si>
  <si>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</si>
  <si>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</si>
  <si>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</si>
  <si>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</si>
  <si>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</si>
  <si>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</si>
  <si>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</si>
  <si>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</si>
  <si>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</si>
  <si>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</si>
  <si>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</si>
  <si>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</si>
  <si>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</si>
  <si>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</si>
  <si>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</si>
  <si>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</si>
  <si>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</si>
  <si>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</si>
  <si>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</si>
  <si>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</si>
  <si>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</si>
  <si>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</si>
  <si>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</si>
  <si>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</si>
  <si>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</si>
  <si>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</si>
  <si>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</si>
  <si>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</si>
  <si>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</si>
  <si>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</si>
  <si>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</si>
  <si>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</si>
  <si>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</si>
  <si>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</si>
  <si>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</si>
  <si>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</si>
  <si>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</si>
  <si>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</si>
  <si>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</si>
  <si>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</si>
  <si>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</si>
  <si>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</si>
  <si>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</si>
  <si>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</si>
  <si>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</si>
  <si>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</si>
  <si>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</si>
  <si>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</si>
  <si>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</si>
  <si>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</si>
  <si>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</si>
  <si>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</si>
  <si>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</si>
  <si>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</si>
  <si>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</si>
  <si>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</si>
  <si>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</si>
  <si>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</si>
  <si>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</si>
  <si>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</si>
  <si>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</si>
  <si>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</si>
  <si>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</si>
  <si>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</si>
  <si>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</si>
  <si>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</si>
  <si>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</si>
  <si>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</si>
  <si>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</si>
  <si>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</si>
  <si>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</si>
  <si>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</si>
  <si>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</si>
  <si>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</si>
  <si>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</si>
  <si>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</si>
  <si>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</si>
  <si>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</si>
  <si>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</si>
  <si>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</si>
  <si>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</si>
  <si>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</si>
  <si>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</si>
  <si>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</si>
  <si>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</si>
  <si>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</si>
  <si>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</si>
  <si>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</si>
  <si>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</si>
  <si>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</si>
  <si>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</si>
  <si>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</si>
  <si>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</si>
  <si>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</si>
  <si>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</si>
  <si>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</si>
  <si>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</si>
  <si>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</si>
  <si>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</si>
  <si>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</si>
  <si>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</si>
  <si>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</si>
  <si>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</si>
  <si>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</si>
  <si>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</si>
  <si>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</si>
  <si>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</si>
  <si>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</si>
  <si>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</si>
  <si>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</si>
  <si>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</si>
  <si>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</si>
  <si>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</si>
  <si>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</si>
  <si>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</si>
  <si>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</si>
  <si>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</si>
  <si>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</si>
  <si>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</si>
  <si>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</si>
  <si>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</si>
  <si>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</si>
  <si>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</si>
  <si>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</si>
  <si>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</si>
  <si>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</si>
  <si>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</si>
  <si>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</si>
  <si>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</si>
  <si>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</si>
  <si>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</si>
  <si>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</si>
  <si>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</si>
  <si>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</si>
  <si>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</si>
  <si>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</si>
  <si>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</si>
  <si>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</si>
  <si>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</si>
  <si>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</si>
  <si>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</si>
  <si>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</si>
  <si>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</si>
  <si>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</si>
  <si>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</si>
  <si>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</si>
  <si>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</si>
  <si>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</si>
  <si>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</si>
  <si>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</si>
  <si>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</si>
  <si>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</si>
  <si>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</si>
  <si>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</si>
  <si>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</si>
  <si>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</si>
  <si>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</si>
  <si>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</si>
  <si>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</si>
  <si>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</si>
  <si>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</si>
  <si>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</si>
  <si>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</si>
  <si>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</si>
  <si>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</si>
  <si>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</si>
  <si>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</si>
  <si>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</si>
  <si>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</si>
  <si>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</si>
  <si>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</si>
  <si>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</si>
  <si>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</si>
  <si>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</si>
  <si>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</si>
  <si>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</si>
  <si>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</si>
  <si>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</si>
  <si>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</si>
  <si>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</si>
  <si>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</si>
  <si>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</si>
  <si>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</si>
  <si>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</si>
  <si>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</si>
  <si>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</si>
  <si>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</si>
  <si>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</si>
  <si>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</si>
  <si>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</si>
  <si>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</si>
  <si>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</si>
  <si>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</si>
  <si>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</si>
  <si>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</si>
  <si>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</si>
  <si>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</si>
  <si>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</si>
  <si>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</si>
  <si>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</si>
  <si>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</si>
  <si>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</si>
  <si>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</si>
  <si>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</si>
  <si>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</si>
  <si>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</si>
  <si>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</si>
  <si>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</si>
  <si>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</si>
  <si>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</si>
  <si>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</si>
  <si>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</si>
  <si>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</si>
  <si>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</si>
  <si>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</si>
  <si>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</si>
  <si>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</si>
  <si>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</si>
  <si>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</si>
  <si>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</si>
  <si>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</si>
  <si>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</si>
  <si>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</si>
  <si>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</si>
  <si>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</si>
  <si>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</si>
  <si>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</si>
  <si>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</si>
  <si>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</si>
  <si>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</si>
  <si>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</si>
  <si>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</si>
  <si>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</si>
  <si>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</si>
  <si>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</si>
  <si>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</si>
  <si>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</si>
  <si>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</si>
  <si>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</si>
  <si>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</si>
  <si>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</si>
  <si>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</si>
  <si>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</si>
  <si>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</si>
  <si>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</si>
  <si>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</si>
  <si>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</si>
  <si>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</si>
  <si>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</si>
  <si>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</si>
  <si>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</si>
  <si>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</si>
  <si>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</si>
  <si>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</si>
  <si>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</si>
  <si>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</si>
  <si>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</si>
  <si>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</si>
  <si>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</si>
  <si>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</si>
  <si>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</si>
  <si>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</si>
  <si>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</si>
  <si>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</si>
  <si>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</si>
  <si>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</si>
  <si>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</si>
  <si>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</si>
  <si>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</si>
  <si>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</si>
  <si>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</si>
  <si>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</si>
  <si>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</si>
  <si>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</si>
  <si>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</si>
  <si>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</si>
  <si>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</si>
  <si>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</si>
  <si>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</si>
  <si>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</si>
  <si>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</si>
  <si>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</si>
  <si>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</si>
  <si>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</si>
  <si>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</si>
  <si>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</si>
  <si>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</si>
  <si>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</si>
  <si>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</si>
  <si>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</si>
  <si>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</si>
  <si>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</si>
  <si>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</si>
  <si>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</si>
  <si>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</si>
  <si>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</si>
  <si>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</si>
  <si>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</si>
  <si>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</si>
  <si>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</si>
  <si>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</si>
  <si>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</si>
  <si>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</si>
  <si>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</si>
  <si>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</si>
  <si>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</si>
  <si>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</si>
  <si>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</si>
  <si>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</si>
  <si>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</si>
  <si>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</si>
  <si>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</si>
  <si>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</si>
  <si>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</si>
  <si>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</si>
  <si>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</si>
  <si>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</si>
  <si>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</si>
  <si>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</si>
  <si>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</si>
  <si>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</si>
  <si>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</si>
  <si>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</si>
  <si>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</si>
  <si>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</si>
  <si>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</si>
  <si>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</si>
  <si>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</si>
  <si>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</si>
  <si>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</si>
  <si>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</si>
  <si>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</si>
  <si>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</si>
  <si>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</si>
  <si>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</si>
  <si>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</si>
  <si>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</si>
  <si>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</si>
  <si>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</si>
  <si>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</si>
  <si>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</si>
  <si>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</si>
  <si>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</si>
  <si>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</si>
  <si>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</si>
  <si>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</si>
  <si>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</si>
  <si>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</si>
  <si>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</si>
  <si>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</si>
  <si>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</si>
  <si>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</si>
  <si>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</si>
  <si>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</si>
  <si>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</si>
  <si>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</si>
  <si>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</si>
  <si>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</si>
  <si>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</si>
  <si>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</si>
  <si>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</si>
  <si>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</si>
  <si>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</si>
  <si>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</si>
  <si>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</si>
  <si>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</si>
  <si>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</si>
  <si>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</si>
  <si>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</si>
  <si>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</si>
  <si>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</si>
  <si>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</si>
  <si>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</si>
  <si>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</si>
  <si>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</si>
  <si>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</si>
  <si>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</si>
  <si>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</si>
  <si>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</si>
  <si>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</si>
  <si>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</si>
  <si>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</si>
  <si>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</si>
  <si>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</si>
  <si>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</si>
  <si>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</si>
  <si>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</si>
  <si>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</si>
  <si>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</si>
  <si>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</si>
  <si>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</si>
  <si>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</si>
  <si>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</si>
  <si>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</si>
  <si>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</si>
  <si>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</si>
  <si>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</si>
  <si>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</si>
  <si>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</si>
  <si>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</si>
  <si>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</si>
  <si>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</si>
  <si>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</si>
  <si>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</si>
  <si>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</si>
  <si>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</si>
  <si>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</si>
  <si>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</si>
  <si>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</si>
  <si>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</si>
  <si>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</si>
  <si>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</si>
  <si>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</si>
  <si>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</si>
  <si>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</si>
  <si>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</si>
  <si>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</si>
  <si>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</si>
  <si>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</si>
  <si>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</si>
  <si>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</si>
  <si>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</si>
  <si>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</si>
  <si>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</si>
  <si>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</si>
  <si>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</si>
  <si>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</si>
  <si>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</si>
  <si>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</si>
  <si>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</si>
  <si>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</si>
  <si>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</si>
  <si>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</si>
  <si>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</si>
  <si>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</si>
  <si>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</si>
  <si>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</si>
  <si>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</si>
  <si>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</si>
  <si>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</si>
  <si>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</si>
  <si>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</si>
  <si>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</si>
  <si>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</si>
  <si>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</si>
  <si>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</si>
  <si>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</si>
  <si>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</si>
  <si>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</si>
  <si>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</si>
  <si>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</si>
  <si>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</si>
  <si>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</si>
  <si>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</si>
  <si>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</si>
  <si>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</si>
  <si>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</si>
  <si>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</si>
  <si>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</si>
  <si>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</si>
  <si>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</si>
  <si>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</si>
  <si>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</si>
  <si>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</si>
  <si>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</si>
  <si>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</si>
  <si>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</si>
  <si>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</si>
  <si>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</si>
  <si>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</si>
  <si>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</si>
  <si>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</si>
  <si>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</si>
  <si>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</si>
  <si>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</si>
  <si>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</si>
  <si>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</si>
  <si>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</si>
  <si>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</si>
  <si>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</si>
  <si>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</si>
  <si>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</si>
  <si>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</si>
  <si>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</si>
  <si>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</si>
  <si>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</si>
  <si>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</si>
  <si>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</si>
  <si>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</si>
  <si>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</si>
  <si>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</si>
  <si>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</si>
  <si>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</si>
  <si>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</si>
  <si>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</si>
  <si>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</si>
  <si>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</si>
  <si>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</si>
  <si>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</si>
  <si>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</si>
  <si>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</si>
  <si>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</si>
  <si>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</si>
  <si>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</si>
  <si>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</si>
  <si>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</si>
  <si>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</si>
  <si>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</si>
  <si>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</si>
  <si>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</si>
  <si>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</si>
  <si>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</si>
  <si>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</si>
  <si>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</si>
  <si>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</si>
  <si>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</si>
  <si>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</si>
  <si>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</si>
  <si>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</si>
  <si>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</si>
  <si>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</si>
  <si>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</si>
  <si>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</si>
  <si>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</si>
  <si>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</si>
  <si>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</si>
  <si>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</si>
  <si>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</si>
  <si>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</si>
  <si>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</si>
  <si>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</si>
  <si>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</si>
  <si>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</si>
  <si>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</si>
  <si>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</si>
  <si>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</si>
  <si>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</si>
  <si>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</si>
  <si>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</si>
  <si>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</si>
  <si>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</si>
  <si>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</si>
  <si>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</si>
  <si>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</si>
  <si>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</si>
  <si>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</si>
  <si>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</si>
  <si>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</si>
  <si>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</si>
  <si>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</si>
  <si>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</si>
  <si>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</si>
  <si>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</si>
  <si>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</si>
  <si>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</si>
  <si>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</si>
  <si>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</si>
  <si>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</si>
  <si>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</si>
  <si>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</si>
  <si>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</si>
  <si>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</si>
  <si>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</si>
  <si>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</si>
  <si>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</si>
  <si>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</si>
  <si>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</si>
  <si>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</si>
  <si>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</si>
  <si>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</si>
  <si>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</si>
  <si>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</si>
  <si>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</si>
  <si>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</si>
  <si>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</si>
  <si>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</si>
  <si>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</si>
  <si>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</si>
  <si>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</si>
  <si>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</si>
  <si>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</si>
  <si>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</si>
  <si>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</si>
  <si>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</si>
  <si>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</si>
  <si>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</si>
  <si>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</si>
  <si>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</si>
  <si>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</si>
  <si>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</si>
  <si>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</si>
  <si>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</si>
  <si>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</si>
  <si>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</si>
  <si>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</si>
  <si>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</si>
  <si>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</si>
  <si>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</si>
  <si>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</si>
  <si>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</si>
  <si>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</si>
  <si>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</si>
  <si>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</si>
  <si>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</si>
  <si>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</si>
  <si>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</si>
  <si>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</si>
  <si>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</si>
  <si>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</si>
  <si>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</si>
  <si>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</si>
  <si>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</si>
  <si>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</si>
  <si>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</si>
  <si>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</si>
  <si>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</si>
  <si>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</si>
  <si>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</si>
  <si>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</si>
  <si>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</si>
  <si>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</si>
  <si>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</si>
  <si>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</si>
  <si>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</si>
  <si>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</si>
  <si>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</si>
  <si>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</si>
  <si>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</si>
  <si>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</si>
  <si>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</si>
  <si>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</si>
  <si>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</si>
  <si>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</si>
  <si>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</si>
  <si>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</si>
  <si>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</si>
  <si>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</si>
  <si>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</si>
  <si>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</si>
  <si>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</si>
  <si>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</si>
  <si>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</si>
  <si>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</si>
  <si>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</si>
  <si>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</si>
  <si>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</si>
  <si>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</si>
  <si>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</si>
  <si>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</si>
  <si>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</si>
  <si>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</si>
  <si>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</si>
  <si>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</si>
  <si>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</si>
  <si>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</si>
  <si>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</si>
  <si>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</si>
  <si>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</si>
  <si>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</si>
  <si>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</si>
  <si>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</si>
  <si>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</si>
  <si>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</si>
  <si>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</si>
  <si>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</si>
  <si>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</si>
  <si>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</si>
  <si>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</si>
  <si>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</si>
  <si>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</si>
  <si>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</si>
  <si>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</si>
  <si>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</si>
  <si>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</si>
  <si>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</si>
  <si>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</si>
  <si>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</si>
  <si>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</si>
  <si>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</si>
  <si>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</si>
  <si>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</si>
  <si>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</si>
  <si>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</si>
  <si>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</si>
  <si>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</si>
  <si>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</si>
  <si>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</si>
  <si>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</si>
  <si>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</si>
  <si>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</si>
  <si>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</si>
  <si>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</si>
  <si>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</si>
  <si>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</si>
  <si>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</si>
  <si>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</si>
  <si>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</si>
  <si>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</si>
  <si>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</si>
  <si>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</si>
  <si>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</si>
  <si>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</si>
  <si>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</si>
  <si>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</si>
  <si>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</si>
  <si>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</si>
  <si>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</si>
  <si>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</si>
  <si>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</si>
  <si>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</si>
  <si>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</si>
  <si>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</si>
  <si>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</si>
  <si>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</si>
  <si>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</si>
  <si>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</si>
  <si>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</si>
  <si>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</si>
  <si>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</si>
  <si>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</si>
  <si>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</si>
  <si>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</si>
  <si>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</si>
  <si>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</si>
  <si>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</si>
  <si>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</si>
  <si>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</si>
  <si>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</si>
  <si>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</si>
  <si>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</si>
  <si>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</si>
  <si>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</si>
  <si>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</si>
  <si>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</si>
  <si>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</si>
  <si>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</si>
  <si>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</si>
  <si>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</si>
  <si>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</si>
  <si>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</si>
  <si>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</si>
  <si>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</si>
  <si>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</si>
  <si>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</si>
  <si>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</si>
  <si>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</si>
  <si>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</si>
  <si>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</si>
  <si>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</si>
  <si>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</si>
  <si>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</si>
  <si>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</si>
  <si>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</si>
  <si>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</si>
  <si>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</si>
  <si>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</si>
  <si>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</si>
  <si>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</si>
  <si>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</si>
  <si>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</si>
  <si>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</si>
  <si>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</si>
  <si>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</si>
  <si>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</si>
  <si>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</si>
  <si>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</si>
  <si>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</si>
  <si>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</si>
  <si>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</si>
  <si>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</si>
  <si>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</si>
  <si>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</si>
  <si>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</si>
  <si>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</si>
  <si>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</si>
  <si>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</si>
  <si>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</si>
  <si>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</si>
  <si>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</si>
  <si>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</si>
  <si>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</si>
  <si>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</si>
  <si>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</si>
  <si>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</si>
  <si>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</si>
  <si>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</si>
  <si>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</si>
  <si>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</si>
  <si>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</si>
  <si>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</si>
  <si>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</si>
  <si>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</si>
  <si>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</si>
  <si>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</si>
  <si>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</si>
  <si>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</si>
  <si>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</si>
  <si>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</si>
  <si>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</si>
  <si>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</si>
  <si>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</si>
  <si>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</si>
  <si>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</si>
  <si>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</si>
  <si>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</si>
  <si>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</si>
  <si>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</si>
  <si>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</si>
  <si>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</si>
  <si>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</si>
  <si>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</si>
  <si>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</si>
  <si>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</si>
  <si>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</si>
  <si>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</si>
  <si>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</si>
  <si>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</si>
  <si>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</si>
  <si>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</si>
  <si>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</si>
  <si>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</si>
  <si>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</si>
  <si>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</si>
  <si>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</si>
  <si>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</si>
  <si>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</si>
  <si>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</si>
  <si>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</si>
  <si>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</si>
  <si>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</si>
  <si>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</si>
  <si>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</si>
  <si>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</si>
  <si>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</si>
  <si>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</si>
  <si>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</si>
  <si>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</si>
  <si>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</si>
  <si>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</si>
  <si>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</si>
  <si>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</si>
  <si>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</si>
  <si>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</si>
  <si>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</si>
  <si>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</si>
  <si>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</si>
  <si>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</si>
  <si>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</si>
  <si>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</si>
  <si>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</si>
  <si>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</si>
  <si>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</si>
  <si>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</si>
  <si>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</si>
  <si>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</si>
  <si>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</si>
  <si>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</si>
  <si>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</si>
  <si>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</si>
  <si>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</si>
  <si>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</si>
  <si>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</si>
  <si>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</si>
  <si>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</si>
  <si>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</si>
  <si>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</si>
  <si>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</si>
  <si>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</si>
  <si>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</si>
  <si>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</si>
  <si>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</si>
  <si>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</si>
  <si>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</si>
  <si>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</si>
  <si>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</si>
  <si>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</si>
  <si>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</si>
  <si>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</si>
  <si>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</si>
  <si>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</si>
  <si>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</si>
  <si>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</si>
  <si>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</si>
  <si>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</si>
  <si>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</si>
  <si>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</si>
  <si>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</si>
  <si>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</si>
  <si>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</si>
  <si>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</si>
  <si>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</si>
  <si>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</si>
  <si>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</si>
  <si>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</si>
  <si>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</si>
  <si>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</si>
  <si>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</si>
  <si>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</si>
  <si>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</si>
  <si>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</si>
  <si>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</si>
  <si>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</si>
  <si>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</si>
  <si>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</si>
  <si>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</si>
  <si>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</si>
  <si>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</si>
  <si>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</si>
  <si>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</si>
  <si>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</si>
  <si>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</si>
  <si>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</si>
  <si>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</si>
  <si>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</si>
  <si>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</si>
  <si>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</si>
  <si>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</si>
  <si>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</si>
  <si>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</si>
  <si>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</si>
  <si>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</si>
  <si>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</si>
  <si>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</si>
  <si>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</si>
  <si>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</si>
  <si>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</si>
  <si>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</si>
  <si>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</si>
  <si>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</si>
  <si>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</si>
  <si>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</si>
  <si>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</si>
  <si>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</si>
  <si>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</si>
  <si>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</si>
  <si>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</si>
  <si>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</si>
  <si>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</si>
  <si>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</si>
  <si>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</si>
  <si>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</si>
  <si>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</si>
  <si>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</si>
  <si>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</si>
  <si>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</si>
  <si>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</si>
  <si>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</si>
  <si>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</si>
  <si>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</si>
  <si>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</si>
  <si>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</si>
  <si>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</si>
  <si>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</si>
  <si>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</si>
  <si>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</si>
  <si>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</si>
  <si>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</si>
  <si>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</si>
  <si>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</si>
  <si>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</si>
  <si>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</si>
  <si>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</si>
  <si>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</si>
  <si>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</si>
  <si>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</si>
  <si>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</si>
  <si>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</si>
  <si>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</si>
  <si>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</si>
  <si>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</si>
  <si>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</si>
  <si>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</si>
  <si>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</si>
  <si>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</si>
  <si>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</si>
  <si>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</si>
  <si>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</si>
  <si>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</si>
  <si>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</si>
  <si>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</si>
  <si>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</si>
  <si>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</si>
  <si>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</si>
  <si>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</si>
  <si>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</si>
  <si>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</si>
  <si>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</si>
  <si>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</si>
  <si>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</si>
  <si>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</si>
  <si>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</si>
  <si>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</si>
  <si>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</si>
  <si>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</si>
  <si>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</si>
  <si>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</si>
  <si>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</si>
  <si>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</si>
  <si>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</si>
  <si>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</si>
  <si>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</si>
  <si>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</si>
  <si>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</si>
  <si>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</si>
  <si>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</si>
  <si>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</si>
  <si>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</si>
  <si>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</si>
  <si>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</si>
  <si>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</si>
  <si>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</si>
  <si>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</si>
  <si>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</si>
  <si>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</si>
  <si>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</si>
  <si>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</si>
  <si>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</si>
  <si>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</si>
  <si>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</si>
  <si>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</si>
  <si>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</si>
  <si>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</si>
  <si>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</si>
  <si>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</si>
  <si>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</si>
  <si>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</si>
  <si>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</si>
  <si>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</si>
  <si>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</si>
  <si>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</si>
  <si>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</si>
  <si>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</si>
  <si>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</si>
  <si>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</si>
  <si>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</si>
  <si>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</si>
  <si>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</si>
  <si>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</si>
  <si>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</si>
  <si>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</si>
  <si>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</si>
  <si>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</si>
  <si>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</si>
  <si>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</si>
  <si>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</si>
  <si>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</si>
  <si>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</si>
  <si>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</si>
  <si>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</si>
  <si>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</si>
  <si>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</si>
  <si>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</si>
  <si>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</si>
  <si>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</si>
  <si>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</si>
  <si>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</si>
  <si>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</si>
  <si>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</si>
  <si>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</si>
  <si>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</si>
  <si>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</si>
  <si>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</si>
  <si>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</si>
  <si>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</si>
  <si>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</si>
  <si>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</si>
  <si>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</si>
  <si>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</si>
  <si>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</si>
  <si>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</si>
  <si>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</si>
  <si>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</si>
  <si>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</si>
  <si>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</si>
  <si>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</si>
  <si>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</si>
  <si>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</si>
  <si>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</si>
  <si>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</si>
  <si>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</si>
  <si>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</si>
  <si>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</si>
  <si>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</si>
  <si>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</si>
  <si>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</si>
  <si>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</si>
  <si>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</si>
  <si>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</si>
  <si>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</si>
  <si>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</si>
  <si>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</si>
  <si>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</si>
  <si>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</si>
  <si>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</si>
  <si>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</si>
  <si>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</si>
  <si>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</si>
  <si>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</si>
  <si>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</si>
  <si>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</si>
  <si>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</si>
  <si>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</si>
  <si>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</si>
  <si>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</si>
  <si>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</si>
  <si>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</si>
  <si>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</si>
  <si>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</si>
  <si>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</si>
  <si>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</si>
  <si>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</si>
  <si>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</si>
  <si>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</si>
  <si>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</si>
  <si>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</si>
  <si>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</si>
  <si>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</si>
  <si>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</si>
  <si>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</si>
  <si>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</si>
  <si>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</si>
  <si>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</si>
  <si>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</si>
  <si>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</si>
  <si>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</si>
  <si>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</si>
  <si>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</si>
  <si>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</si>
  <si>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</si>
  <si>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</si>
  <si>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</si>
  <si>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</si>
  <si>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</si>
  <si>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</si>
  <si>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</si>
  <si>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</si>
  <si>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</si>
  <si>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</si>
  <si>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</si>
  <si>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</si>
  <si>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</si>
  <si>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</si>
  <si>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</si>
  <si>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</si>
  <si>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</si>
  <si>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</si>
  <si>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</si>
  <si>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</si>
  <si>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</si>
  <si>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</si>
  <si>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</si>
  <si>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</si>
  <si>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</si>
  <si>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</si>
  <si>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</si>
  <si>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</si>
  <si>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</si>
  <si>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</si>
  <si>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</si>
  <si>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</si>
  <si>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</si>
  <si>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</si>
  <si>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</si>
  <si>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</si>
  <si>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</si>
  <si>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</si>
  <si>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</si>
  <si>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</si>
  <si>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</si>
  <si>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</si>
  <si>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</si>
  <si>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PAIS VASCO</t>
  </si>
  <si>
    <t>Provincias</t>
  </si>
  <si>
    <t>BIZKAIA</t>
  </si>
  <si>
    <t>Resumenes por Partidos Judiciales</t>
  </si>
  <si>
    <t>BILBAO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</si>
</sst>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4</v>
      </c>
      <c r="E5" s="418"/>
      <c r="F5" s="3"/>
      <c r="H5" t="s">
        <v>546</v>
      </c>
      <c r="Q5" s="391">
        <v>3</v>
      </c>
      <c r="R5" s="391">
        <v>2</v>
      </c>
      <c r="S5" t="b">
        <f>AND(Q5&gt;=TrimIni,Q5&lt;=TrimFin)</f>
        <v>0</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MLu3wScpnSjrxQR2Gfk7APT1yqrNgzqDkTc4UL4gigzOPBt/BOqSCyFLz7tDiqpMLGjP/vZjH2DjoVOkCXyicA==" saltValue="gST6qmfFaZZnoxXnTxbGI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PAIS VASCO</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4 al 4</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13</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f>IF(ISNUMBER(NºAsuntos!I9/NºAsuntos!G9),(NºAsuntos!I9/NºAsuntos!G9)*11," - ")</f>
        <v>28.038348538735118</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2</v>
      </c>
      <c r="B10" s="1461" t="str">
        <f>Datos!A10</f>
        <v>Jdos. Violencia contra la mujer</v>
      </c>
      <c r="C10" s="239">
        <f t="shared" si="0"/>
        <v>264</v>
      </c>
      <c r="D10" s="239">
        <f>IF(ISNUMBER(Datos!I10),Datos!I10," - ")</f>
        <v>264</v>
      </c>
      <c r="E10" s="240">
        <f>IF(ISNUMBER(Datos!J10),Datos!J10," - ")</f>
        <v>136</v>
      </c>
      <c r="F10" s="240">
        <f>IF(ISNUMBER(Datos!K10),Datos!K10," - ")</f>
        <v>95</v>
      </c>
      <c r="G10" s="1390" t="str">
        <f>IF(Datos!E10&lt;&gt;"",Datos!E10,Datos!D10)</f>
        <v>37</v>
      </c>
      <c r="H10" s="241">
        <f>IF(ISNUMBER(Datos!L10),Datos!L10," - ")</f>
        <v>305</v>
      </c>
      <c r="I10" s="1400" t="str">
        <f>IF(ISNUMBER(Datos!AS10/Datos!BM10),Datos!AS10/Datos!BM10," - ")</f>
        <v xml:space="preserve"> - </v>
      </c>
      <c r="J10" s="1401">
        <f>IF(ISNUMBER(Datos!BY10/Datos!CN10),Datos!BY10/Datos!CN10," - ")</f>
        <v>0</v>
      </c>
      <c r="K10" s="244">
        <f t="shared" ref="K10:K13" si="1">IF(ISNUMBER((E10-F10)/C10),(E10-F10)/C10," - ")</f>
        <v>0.1553030303030303</v>
      </c>
      <c r="L10" s="1402">
        <f>IF(ISNUMBER(NºAsuntos!I10/NºAsuntos!G10),(NºAsuntos!I10/NºAsuntos!G10)*11," - ")</f>
        <v>35.315789473684212</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3</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f>IF(ISNUMBER(NºAsuntos!I11/NºAsuntos!G11),(NºAsuntos!I11/NºAsuntos!G11)*11," - ")</f>
        <v>20.777777777777779</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0</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t="str">
        <f>IF(ISNUMBER(NºAsuntos!I12/NºAsuntos!G12),(NºAsuntos!I12/NºAsuntos!G12)*11," - ")</f>
        <v xml:space="preserve"> - </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264</v>
      </c>
      <c r="D14" s="1407">
        <f>SUBTOTAL(9,D9:D13)</f>
        <v>264</v>
      </c>
      <c r="E14" s="1408">
        <f>SUBTOTAL(9,E9:E13)</f>
        <v>136</v>
      </c>
      <c r="F14" s="1409">
        <f>SUBTOTAL(9,F9:F13)</f>
        <v>95</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10</v>
      </c>
      <c r="B16" s="1461" t="str">
        <f>Datos!A16</f>
        <v xml:space="preserve">Jdos. Instrucción                               </v>
      </c>
      <c r="C16" s="239">
        <f t="shared" ref="C16:C22" si="2">IF(ISNUMBER(H16-E16+F16),H16-E16+F16," - ")</f>
        <v>4838</v>
      </c>
      <c r="D16" s="239">
        <f>IF(ISNUMBER(IF(D_I="SI",Datos!I16,Datos!I16+Datos!AC16)),IF(D_I="SI",Datos!I16,Datos!I16+Datos!AC16)," - ")</f>
        <v>4504</v>
      </c>
      <c r="E16" s="240">
        <f>IF(ISNUMBER(IF(D_I="SI",Datos!J16,Datos!J16+Datos!AD16)),IF(D_I="SI",Datos!J16,Datos!J16+Datos!AD16)," - ")</f>
        <v>5082</v>
      </c>
      <c r="F16" s="240">
        <f>IF(ISNUMBER(IF(D_I="SI",Datos!K16,Datos!K16+Datos!AE16)),IF(D_I="SI",Datos!K16,Datos!K16+Datos!AE16)," - ")</f>
        <v>5389</v>
      </c>
      <c r="G16" s="1390" t="str">
        <f>IF(Datos!E16&lt;&gt;"",Datos!E16,Datos!D16)</f>
        <v>03</v>
      </c>
      <c r="H16" s="241">
        <f>IF(ISNUMBER(IF(D_I="SI",Datos!L16,Datos!L16+Datos!AF16)),IF(D_I="SI",Datos!L16,Datos!L16+Datos!AF16)," - ")</f>
        <v>4531</v>
      </c>
      <c r="I16" s="1400" t="str">
        <f>IF(ISNUMBER(Datos!AS16/Datos!BM16),Datos!AS16/Datos!BM16," - ")</f>
        <v xml:space="preserve"> - </v>
      </c>
      <c r="J16" s="1401">
        <f>IF(ISNUMBER(Datos!BY16/Datos!CN16),Datos!BY16/Datos!CN16," - ")</f>
        <v>0</v>
      </c>
      <c r="K16" s="244">
        <f t="shared" ref="K16:K22" si="3">IF(ISNUMBER((E16-F16)/C16),(E16-F16)/C16," - ")</f>
        <v>-6.3455973542786273E-2</v>
      </c>
      <c r="L16" s="1402">
        <f>IF(ISNUMBER(NºAsuntos!I16/NºAsuntos!G16),(NºAsuntos!I16/NºAsuntos!G16)*11," - ")</f>
        <v>9.2486546669140832</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0</v>
      </c>
      <c r="B17" s="1461" t="str">
        <f>Datos!A17</f>
        <v xml:space="preserve">Jdos. 1ª Instª. e Instr.                        </v>
      </c>
      <c r="C17" s="239" t="str">
        <f t="shared" si="2"/>
        <v xml:space="preserve"> - </v>
      </c>
      <c r="D17" s="239" t="str">
        <f>IF(ISNUMBER(IF(D_I="SI",Datos!I17,Datos!I17+Datos!AC17)),IF(D_I="SI",Datos!I17,Datos!I17+Datos!AC17)," - ")</f>
        <v xml:space="preserve"> - </v>
      </c>
      <c r="E17" s="240" t="str">
        <f>IF(ISNUMBER(IF(D_I="SI",Datos!J17,Datos!J17+Datos!AD17)),IF(D_I="SI",Datos!J17,Datos!J17+Datos!AD17)," - ")</f>
        <v xml:space="preserve"> - </v>
      </c>
      <c r="F17" s="240" t="str">
        <f>IF(ISNUMBER(IF(D_I="SI",Datos!K17,Datos!K17+Datos!AE17)),IF(D_I="SI",Datos!K17,Datos!K17+Datos!AE17)," - ")</f>
        <v xml:space="preserve"> - </v>
      </c>
      <c r="G17" s="1390" t="str">
        <f>IF(Datos!E17&lt;&gt;"",Datos!E17,Datos!D17)</f>
        <v>04</v>
      </c>
      <c r="H17" s="241" t="str">
        <f>IF(ISNUMBER(IF(D_I="SI",Datos!L17,Datos!L17+Datos!AF17)),IF(D_I="SI",Datos!L17,Datos!L17+Datos!AF17)," - ")</f>
        <v xml:space="preserve"> - </v>
      </c>
      <c r="I17" s="1400" t="str">
        <f>IF(ISNUMBER(Datos!AS17/Datos!BM17),Datos!AS17/Datos!BM17," - ")</f>
        <v xml:space="preserve"> - </v>
      </c>
      <c r="J17" s="1401">
        <f>IF(ISNUMBER(Datos!BY17/Datos!CN17),Datos!BY17/Datos!CN17," - ")</f>
        <v>0</v>
      </c>
      <c r="K17" s="244" t="str">
        <f t="shared" si="3"/>
        <v xml:space="preserve"> - </v>
      </c>
      <c r="L17" s="1402" t="str">
        <f>IF(ISNUMBER(NºAsuntos!I17/NºAsuntos!G17),(NºAsuntos!I17/NºAsuntos!G17)*11," - ")</f>
        <v xml:space="preserve"> - </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2</v>
      </c>
      <c r="B18" s="1461" t="str">
        <f>Datos!A18</f>
        <v>Jdos. Violencia contra la mujer</v>
      </c>
      <c r="C18" s="239">
        <f t="shared" si="2"/>
        <v>607</v>
      </c>
      <c r="D18" s="239">
        <f>IF(ISNUMBER(IF(D_I="SI",Datos!I18,Datos!I18+Datos!AC18)),IF(D_I="SI",Datos!I18,Datos!I18+Datos!AC18)," - ")</f>
        <v>598</v>
      </c>
      <c r="E18" s="240">
        <f>IF(ISNUMBER(IF(D_I="SI",Datos!J18,Datos!J18+Datos!AD18)),IF(D_I="SI",Datos!J18,Datos!J18+Datos!AD18)," - ")</f>
        <v>626</v>
      </c>
      <c r="F18" s="240">
        <f>IF(ISNUMBER(IF(D_I="SI",Datos!K18,Datos!K18+Datos!AE18)),IF(D_I="SI",Datos!K18,Datos!K18+Datos!AE18)," - ")</f>
        <v>701</v>
      </c>
      <c r="G18" s="1390" t="str">
        <f>IF(Datos!E18&lt;&gt;"",Datos!E18,Datos!D18)</f>
        <v>37</v>
      </c>
      <c r="H18" s="241">
        <f>IF(ISNUMBER(IF(D_I="SI",Datos!L18,Datos!L18+Datos!AF18)),IF(D_I="SI",Datos!L18,Datos!L18+Datos!AF18)," - ")</f>
        <v>532</v>
      </c>
      <c r="I18" s="1400" t="str">
        <f>IF(ISNUMBER(Datos!AS18/Datos!BM18),Datos!AS18/Datos!BM18," - ")</f>
        <v xml:space="preserve"> - </v>
      </c>
      <c r="J18" s="1401" t="str">
        <f>IF(ISNUMBER((Datos!BY18+Datos!BZ18)/Datos!CN18),(Datos!BY18+Datos!BZ18)/Datos!CN18," - ")</f>
        <v xml:space="preserve"> - </v>
      </c>
      <c r="K18" s="244">
        <f t="shared" si="3"/>
        <v>-0.12355848434925865</v>
      </c>
      <c r="L18" s="1402">
        <f>IF(ISNUMBER(NºAsuntos!I18/NºAsuntos!G18),(NºAsuntos!I18/NºAsuntos!G18)*11," - ")</f>
        <v>8.3480741797432252</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5445</v>
      </c>
      <c r="D23" s="1407">
        <f>SUBTOTAL(9,D16:D22)</f>
        <v>5102</v>
      </c>
      <c r="E23" s="1408">
        <f>SUBTOTAL(9,E16:E22)</f>
        <v>5708</v>
      </c>
      <c r="F23" s="1408">
        <f>SUBTOTAL(9,F16:F22)</f>
        <v>6090</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5709</v>
      </c>
      <c r="D31" s="1435">
        <f>SUBTOTAL(9,D9:D30)</f>
        <v>5366</v>
      </c>
      <c r="E31" s="1436">
        <f>SUBTOTAL(9,E9:E30)</f>
        <v>5844</v>
      </c>
      <c r="F31" s="1436">
        <f>SUBTOTAL(9,F9:F30)</f>
        <v>6185</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xy2A02IUDVZ6ZxJjFf4cD9FhpiRQtzDX3RZC1teo40TwKUIeAXbmzxoG6js5vXBirGVoSTzkt6g506J+rDNSCA==" saltValue="xNta3CC9JVlIHV9KlaVfiQ=="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s8CC+Sgysip2ekLJE9A2e6AW+XmdOQ5QxUHXVRa2NwXLfI/XDaQQx4ULf7xaxbyDTbeuDU1Pi389t1J4DwOBmg==" saltValue="1DeTBUax2GTIcXNYvHmsE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PAIS VASCO</v>
      </c>
    </row>
    <row r="4" spans="1:155" ht="13.5" thickBot="1">
      <c r="A4" t="str">
        <f>Criterios!A10</f>
        <v>Provincias</v>
      </c>
      <c r="B4" t="str">
        <f>Criterios!B10</f>
        <v>BIZKAIA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v>14913</v>
      </c>
      <c r="J9" s="194">
        <v>6788</v>
      </c>
      <c r="K9" s="194">
        <v>5636</v>
      </c>
      <c r="L9" s="194">
        <v>16065</v>
      </c>
      <c r="M9" s="194">
        <v>2044</v>
      </c>
      <c r="N9" s="194">
        <v>2092</v>
      </c>
      <c r="O9" s="194">
        <v>2476</v>
      </c>
      <c r="P9" s="194">
        <v>779</v>
      </c>
      <c r="Q9" s="194">
        <v>845</v>
      </c>
      <c r="R9" s="194">
        <v>8592</v>
      </c>
      <c r="S9" s="194">
        <v>15588</v>
      </c>
      <c r="T9" s="194">
        <v>4874</v>
      </c>
      <c r="U9" s="194">
        <v>5336</v>
      </c>
      <c r="V9" s="194">
        <v>15121</v>
      </c>
      <c r="W9" s="194">
        <v>2354</v>
      </c>
      <c r="X9" s="201">
        <v>1851</v>
      </c>
      <c r="Y9" s="204">
        <v>413</v>
      </c>
      <c r="Z9" s="194">
        <v>837</v>
      </c>
      <c r="AA9" s="194">
        <v>831</v>
      </c>
      <c r="AB9" s="194">
        <v>419</v>
      </c>
      <c r="AC9" s="194">
        <v>0</v>
      </c>
      <c r="AD9" s="194">
        <v>0</v>
      </c>
      <c r="AE9" s="194">
        <v>0</v>
      </c>
      <c r="AF9" s="201">
        <v>0</v>
      </c>
      <c r="AG9" s="204">
        <v>415</v>
      </c>
      <c r="AH9" s="194">
        <v>1001</v>
      </c>
      <c r="AI9" s="194">
        <v>929</v>
      </c>
      <c r="AJ9" s="205">
        <v>490</v>
      </c>
      <c r="AK9" s="193">
        <v>0</v>
      </c>
      <c r="AL9" s="194">
        <v>0</v>
      </c>
      <c r="AM9" s="194">
        <v>0</v>
      </c>
      <c r="AN9" s="201">
        <v>0</v>
      </c>
      <c r="AO9" s="282">
        <v>13</v>
      </c>
      <c r="AP9" s="167">
        <v>13</v>
      </c>
      <c r="AQ9" s="167">
        <v>13</v>
      </c>
      <c r="AR9" s="206">
        <v>13</v>
      </c>
      <c r="AS9" s="379" t="s">
        <v>1072</v>
      </c>
      <c r="AT9" s="208"/>
      <c r="AU9" s="207"/>
      <c r="AV9" s="208"/>
      <c r="AW9" s="207"/>
      <c r="AX9" s="208"/>
      <c r="AY9" s="133">
        <f>IF(ISNUMBER(IF(J_V="SI",S9,S9+AG9)),IF(J_V="SI",S9,S9+AG9)," - ")</f>
        <v>16003</v>
      </c>
      <c r="AZ9" s="133">
        <f>IF(ISNUMBER(IF(J_V="SI",T9,T9+AH9)),IF(J_V="SI",T9,T9+AH9)," - ")</f>
        <v>5875</v>
      </c>
      <c r="BA9" s="134">
        <f>IF(ISNUMBER(IF(J_V="SI",U9,U9+AI9)),IF(J_V="SI",U9,U9+AI9)," - ")</f>
        <v>6265</v>
      </c>
      <c r="BB9" s="134">
        <f>IF(ISNUMBER(IF(J_V="SI",V9,V9+AJ9)),IF(J_V="SI",V9,V9+AJ9)," - ")</f>
        <v>15611</v>
      </c>
      <c r="BC9" s="135">
        <f>IF(ISNUMBER(X9),X9," - ")</f>
        <v>1851</v>
      </c>
      <c r="BD9" s="136">
        <f>IF(ISNUMBER(BA9/AZ9),BA9/AZ9," - ")</f>
        <v>1.0663829787234043</v>
      </c>
      <c r="BE9" s="137">
        <f>IF(ISNUMBER(BB9/BA9),BB9/BA9, " - ")</f>
        <v>2.4917797286512369</v>
      </c>
      <c r="BF9" s="137">
        <f>IF(ISNUMBER(BC9/BA9),BC9/BA9, " - ")</f>
        <v>0.29545091779728649</v>
      </c>
      <c r="BG9" s="209">
        <f>IF(ISNUMBER((AY9+AZ9)/BA9),(AY9+AZ9)/BA9," - ")</f>
        <v>3.492098962490024</v>
      </c>
      <c r="BH9" s="167">
        <v>13</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264</v>
      </c>
      <c r="J10" s="194">
        <v>136</v>
      </c>
      <c r="K10" s="194">
        <v>95</v>
      </c>
      <c r="L10" s="194">
        <v>305</v>
      </c>
      <c r="M10" s="194">
        <v>36</v>
      </c>
      <c r="N10" s="194">
        <v>24</v>
      </c>
      <c r="O10" s="194">
        <v>21</v>
      </c>
      <c r="P10" s="194">
        <v>18</v>
      </c>
      <c r="Q10" s="194">
        <v>23</v>
      </c>
      <c r="R10" s="194">
        <v>203</v>
      </c>
      <c r="S10" s="194">
        <v>260</v>
      </c>
      <c r="T10" s="194">
        <v>50</v>
      </c>
      <c r="U10" s="194">
        <v>64</v>
      </c>
      <c r="V10" s="194">
        <v>246</v>
      </c>
      <c r="W10" s="194">
        <v>31</v>
      </c>
      <c r="X10" s="201">
        <v>18</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2</v>
      </c>
      <c r="AP10" s="168">
        <v>2</v>
      </c>
      <c r="AQ10" s="167">
        <v>2</v>
      </c>
      <c r="AR10" s="168">
        <v>2</v>
      </c>
      <c r="AS10" s="380" t="s">
        <v>1066</v>
      </c>
      <c r="AT10" s="205"/>
      <c r="AU10" s="213"/>
      <c r="AV10" s="205"/>
      <c r="AW10" s="213"/>
      <c r="AX10" s="205"/>
      <c r="AY10" s="138">
        <f t="shared" ref="AY10:BC10" si="0">IF(ISNUMBER(S10),S10," - ")</f>
        <v>260</v>
      </c>
      <c r="AZ10" s="139">
        <f t="shared" si="0"/>
        <v>50</v>
      </c>
      <c r="BA10" s="139">
        <f t="shared" si="0"/>
        <v>64</v>
      </c>
      <c r="BB10" s="139">
        <f t="shared" si="0"/>
        <v>246</v>
      </c>
      <c r="BC10" s="135">
        <f t="shared" si="0"/>
        <v>31</v>
      </c>
      <c r="BD10" s="136">
        <f>IF(ISNUMBER(BA10/AZ10),BA10/AZ10," - ")</f>
        <v>1.28</v>
      </c>
      <c r="BE10" s="137">
        <f>IF(ISNUMBER(BB10/BA10),BB10/BA10, " - ")</f>
        <v>3.84375</v>
      </c>
      <c r="BF10" s="137">
        <f>IF(ISNUMBER(BC10/BA10),BC10/BA10, " - ")</f>
        <v>0.484375</v>
      </c>
      <c r="BG10" s="209">
        <f>IF(ISNUMBER((AY10+AZ10)/BA10),(AY10+AZ10)/BA10," - ")</f>
        <v>4.84375</v>
      </c>
      <c r="BH10" s="168">
        <v>2</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v>1046</v>
      </c>
      <c r="J11" s="196">
        <v>521</v>
      </c>
      <c r="K11" s="196">
        <v>534</v>
      </c>
      <c r="L11" s="196">
        <v>1049</v>
      </c>
      <c r="M11" s="196">
        <v>223</v>
      </c>
      <c r="N11" s="196">
        <v>201</v>
      </c>
      <c r="O11" s="194">
        <v>165</v>
      </c>
      <c r="P11" s="196">
        <v>64</v>
      </c>
      <c r="Q11" s="196">
        <v>82</v>
      </c>
      <c r="R11" s="196">
        <v>884</v>
      </c>
      <c r="S11" s="196">
        <v>1249</v>
      </c>
      <c r="T11" s="196">
        <v>525</v>
      </c>
      <c r="U11" s="196">
        <v>621</v>
      </c>
      <c r="V11" s="196">
        <v>1154</v>
      </c>
      <c r="W11" s="196">
        <v>304</v>
      </c>
      <c r="X11" s="202">
        <v>140</v>
      </c>
      <c r="Y11" s="204">
        <v>53</v>
      </c>
      <c r="Z11" s="194">
        <v>50</v>
      </c>
      <c r="AA11" s="194">
        <v>51</v>
      </c>
      <c r="AB11" s="194">
        <v>56</v>
      </c>
      <c r="AC11" s="196">
        <v>0</v>
      </c>
      <c r="AD11" s="196">
        <v>0</v>
      </c>
      <c r="AE11" s="196">
        <v>0</v>
      </c>
      <c r="AF11" s="202">
        <v>0</v>
      </c>
      <c r="AG11" s="215">
        <v>58</v>
      </c>
      <c r="AH11" s="196">
        <v>42</v>
      </c>
      <c r="AI11" s="196">
        <v>42</v>
      </c>
      <c r="AJ11" s="216">
        <v>58</v>
      </c>
      <c r="AK11" s="195">
        <v>0</v>
      </c>
      <c r="AL11" s="196">
        <v>0</v>
      </c>
      <c r="AM11" s="196">
        <v>0</v>
      </c>
      <c r="AN11" s="202">
        <v>0</v>
      </c>
      <c r="AO11" s="283">
        <v>3</v>
      </c>
      <c r="AP11" s="168">
        <v>3</v>
      </c>
      <c r="AQ11" s="168">
        <v>3</v>
      </c>
      <c r="AR11" s="167">
        <v>3</v>
      </c>
      <c r="AS11" s="381" t="s">
        <v>1074</v>
      </c>
      <c r="AT11" s="216"/>
      <c r="AU11" s="215"/>
      <c r="AV11" s="216"/>
      <c r="AW11" s="215"/>
      <c r="AX11" s="216"/>
      <c r="AY11" s="136">
        <f t="shared" ref="AY11:BB12" si="1">IF(ISNUMBER(IF(J_V="SI",S11,S11+AG11)),IF(J_V="SI",S11,S11+AG11)," - ")</f>
        <v>1307</v>
      </c>
      <c r="AZ11" s="137">
        <f t="shared" si="1"/>
        <v>567</v>
      </c>
      <c r="BA11" s="137">
        <f t="shared" si="1"/>
        <v>663</v>
      </c>
      <c r="BB11" s="137">
        <f t="shared" si="1"/>
        <v>1212</v>
      </c>
      <c r="BC11" s="135">
        <f>IF(ISNUMBER(X11),X11," - ")</f>
        <v>140</v>
      </c>
      <c r="BD11" s="136">
        <f t="shared" ref="BD11:BD13" si="2">IF(ISNUMBER(BA11/AZ11),BA11/AZ11," - ")</f>
        <v>1.1693121693121693</v>
      </c>
      <c r="BE11" s="137">
        <f t="shared" ref="BE11:BE13" si="3">IF(ISNUMBER(BB11/BA11),BB11/BA11, " - ")</f>
        <v>1.8280542986425339</v>
      </c>
      <c r="BF11" s="137">
        <f t="shared" ref="BF11:BF13" si="4">IF(ISNUMBER(BC11/BA11),BC11/BA11, " - ")</f>
        <v>0.21116138763197587</v>
      </c>
      <c r="BG11" s="209">
        <f t="shared" ref="BG11:BG13" si="5">IF(ISNUMBER((AY11+AZ11)/BA11),(AY11+AZ11)/BA11," - ")</f>
        <v>2.8265460030165914</v>
      </c>
      <c r="BH11" s="168">
        <v>3</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t="s">
        <v>1081</v>
      </c>
      <c r="J12" s="196" t="s">
        <v>1073</v>
      </c>
      <c r="K12" s="196" t="s">
        <v>1135</v>
      </c>
      <c r="L12" s="196" t="s">
        <v>1086</v>
      </c>
      <c r="M12" s="196" t="s">
        <v>653</v>
      </c>
      <c r="N12" s="196" t="s">
        <v>668</v>
      </c>
      <c r="O12" s="194" t="s">
        <v>286</v>
      </c>
      <c r="P12" s="196" t="s">
        <v>57</v>
      </c>
      <c r="Q12" s="196" t="s">
        <v>58</v>
      </c>
      <c r="R12" s="196" t="s">
        <v>125</v>
      </c>
      <c r="S12" s="196"/>
      <c r="T12" s="196"/>
      <c r="U12" s="196"/>
      <c r="V12" s="196"/>
      <c r="W12" s="196"/>
      <c r="X12" s="202"/>
      <c r="Y12" s="204" t="s">
        <v>179</v>
      </c>
      <c r="Z12" s="194" t="s">
        <v>180</v>
      </c>
      <c r="AA12" s="194" t="s">
        <v>181</v>
      </c>
      <c r="AB12" s="194" t="s">
        <v>182</v>
      </c>
      <c r="AC12" s="196"/>
      <c r="AD12" s="196"/>
      <c r="AE12" s="196"/>
      <c r="AF12" s="202"/>
      <c r="AG12" s="215"/>
      <c r="AH12" s="196"/>
      <c r="AI12" s="196"/>
      <c r="AJ12" s="216"/>
      <c r="AK12" s="195"/>
      <c r="AL12" s="196"/>
      <c r="AM12" s="196"/>
      <c r="AN12" s="202"/>
      <c r="AO12" s="283">
        <v>0</v>
      </c>
      <c r="AP12" s="168">
        <v>0</v>
      </c>
      <c r="AQ12" s="168">
        <v>0</v>
      </c>
      <c r="AR12" s="167">
        <v>0</v>
      </c>
      <c r="AS12" s="381" t="s">
        <v>1075</v>
      </c>
      <c r="AT12" s="216"/>
      <c r="AU12" s="215"/>
      <c r="AV12" s="216"/>
      <c r="AW12" s="215"/>
      <c r="AX12" s="216"/>
      <c r="AY12" s="136">
        <f t="shared" si="1"/>
        <v>0</v>
      </c>
      <c r="AZ12" s="137">
        <f t="shared" si="1"/>
        <v>0</v>
      </c>
      <c r="BA12" s="137">
        <f t="shared" si="1"/>
        <v>0</v>
      </c>
      <c r="BB12" s="137">
        <f t="shared" si="1"/>
        <v>0</v>
      </c>
      <c r="BC12" s="135" t="str">
        <f>IF(ISNUMBER(X12),X12," - ")</f>
        <v xml:space="preserve"> - </v>
      </c>
      <c r="BD12" s="136" t="str">
        <f t="shared" si="2"/>
        <v xml:space="preserve"> - </v>
      </c>
      <c r="BE12" s="137" t="str">
        <f t="shared" si="3"/>
        <v xml:space="preserve"> - </v>
      </c>
      <c r="BF12" s="137" t="str">
        <f t="shared" si="4"/>
        <v xml:space="preserve"> - </v>
      </c>
      <c r="BG12" s="209" t="str">
        <f t="shared" si="5"/>
        <v xml:space="preserve"> - </v>
      </c>
      <c r="BH12" s="168">
        <v>0</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16223</v>
      </c>
      <c r="J14" s="197">
        <f t="shared" si="7"/>
        <v>7445</v>
      </c>
      <c r="K14" s="197">
        <f t="shared" si="7"/>
        <v>6265</v>
      </c>
      <c r="L14" s="197">
        <f t="shared" si="7"/>
        <v>17419</v>
      </c>
      <c r="M14" s="197">
        <f t="shared" si="7"/>
        <v>2303</v>
      </c>
      <c r="N14" s="197">
        <f t="shared" si="7"/>
        <v>2317</v>
      </c>
      <c r="O14" s="197">
        <f t="shared" si="7"/>
        <v>2662</v>
      </c>
      <c r="P14" s="197">
        <f t="shared" si="7"/>
        <v>861</v>
      </c>
      <c r="Q14" s="197">
        <f t="shared" si="7"/>
        <v>950</v>
      </c>
      <c r="R14" s="197">
        <f t="shared" si="7"/>
        <v>9679</v>
      </c>
      <c r="S14" s="197">
        <f t="shared" si="7"/>
        <v>17097</v>
      </c>
      <c r="T14" s="197">
        <f t="shared" si="7"/>
        <v>5449</v>
      </c>
      <c r="U14" s="197">
        <f t="shared" si="7"/>
        <v>6021</v>
      </c>
      <c r="V14" s="197">
        <f t="shared" si="7"/>
        <v>16521</v>
      </c>
      <c r="W14" s="197">
        <f t="shared" si="7"/>
        <v>2689</v>
      </c>
      <c r="X14" s="197">
        <f t="shared" si="7"/>
        <v>2009</v>
      </c>
      <c r="Y14" s="197">
        <f t="shared" si="7"/>
        <v>466</v>
      </c>
      <c r="Z14" s="197">
        <f t="shared" si="7"/>
        <v>887</v>
      </c>
      <c r="AA14" s="197">
        <f t="shared" si="7"/>
        <v>882</v>
      </c>
      <c r="AB14" s="197">
        <f t="shared" si="7"/>
        <v>475</v>
      </c>
      <c r="AC14" s="197">
        <f t="shared" si="7"/>
        <v>0</v>
      </c>
      <c r="AD14" s="197">
        <f t="shared" si="7"/>
        <v>0</v>
      </c>
      <c r="AE14" s="197">
        <f t="shared" si="7"/>
        <v>0</v>
      </c>
      <c r="AF14" s="197">
        <f>SUBTOTAL(9,AF9:AF13)</f>
        <v>0</v>
      </c>
      <c r="AG14" s="197">
        <f t="shared" ref="AG14:AT14" si="8">SUBTOTAL(9,AG8:AG13)</f>
        <v>473</v>
      </c>
      <c r="AH14" s="197">
        <f t="shared" si="8"/>
        <v>1043</v>
      </c>
      <c r="AI14" s="197">
        <f t="shared" si="8"/>
        <v>971</v>
      </c>
      <c r="AJ14" s="197">
        <f t="shared" si="8"/>
        <v>548</v>
      </c>
      <c r="AK14" s="197">
        <f t="shared" si="8"/>
        <v>0</v>
      </c>
      <c r="AL14" s="197">
        <f t="shared" si="8"/>
        <v>0</v>
      </c>
      <c r="AM14" s="197">
        <f t="shared" si="8"/>
        <v>0</v>
      </c>
      <c r="AN14" s="197">
        <f t="shared" si="8"/>
        <v>0</v>
      </c>
      <c r="AO14" s="197">
        <f t="shared" si="8"/>
        <v>18</v>
      </c>
      <c r="AP14" s="197">
        <f t="shared" si="8"/>
        <v>18</v>
      </c>
      <c r="AQ14" s="197">
        <f t="shared" si="8"/>
        <v>18</v>
      </c>
      <c r="AR14" s="197">
        <f t="shared" si="8"/>
        <v>18</v>
      </c>
      <c r="AS14" s="197">
        <f t="shared" si="8"/>
        <v>0</v>
      </c>
      <c r="AT14" s="197">
        <f t="shared" si="8"/>
        <v>0</v>
      </c>
      <c r="AU14" s="217"/>
      <c r="AV14" s="142"/>
      <c r="AW14" s="217"/>
      <c r="AX14" s="142"/>
      <c r="AY14" s="197">
        <f>SUBTOTAL(9,AY8:AY13)</f>
        <v>17570</v>
      </c>
      <c r="AZ14" s="197">
        <f>SUBTOTAL(9,AZ8:AZ13)</f>
        <v>6492</v>
      </c>
      <c r="BA14" s="197">
        <f>SUBTOTAL(9,BA8:BA13)</f>
        <v>6992</v>
      </c>
      <c r="BB14" s="197">
        <f>SUBTOTAL(9,BB8:BB13)</f>
        <v>17069</v>
      </c>
      <c r="BC14" s="197">
        <f>SUBTOTAL(9,BC8:BC13)</f>
        <v>2022</v>
      </c>
      <c r="BD14" s="219">
        <f>IF(ISNUMBER(BA14/AZ14),BA14/AZ14," - ")</f>
        <v>1.0770178681454097</v>
      </c>
      <c r="BE14" s="220">
        <f>IF(ISNUMBER(BB14/BA14),BB14/BA14, " - ")</f>
        <v>2.4412185354691074</v>
      </c>
      <c r="BF14" s="220">
        <f>IF(ISNUMBER(BC14/BA14),BC14/BA14, " - ")</f>
        <v>0.28918764302059496</v>
      </c>
      <c r="BG14" s="221">
        <f>IF(ISNUMBER((AY14+AZ14)/BA14),(AY14+AZ14)/BA14," - ")</f>
        <v>3.4413615560640731</v>
      </c>
      <c r="BH14" s="153">
        <f>SUBTOTAL(9,BH8:BH13)</f>
        <v>18</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v>4504</v>
      </c>
      <c r="J16" s="196">
        <v>5082</v>
      </c>
      <c r="K16" s="196">
        <v>5389</v>
      </c>
      <c r="L16" s="196">
        <v>4531</v>
      </c>
      <c r="M16" s="196">
        <v>1159</v>
      </c>
      <c r="N16" s="196">
        <v>2563</v>
      </c>
      <c r="O16" s="194">
        <v>0</v>
      </c>
      <c r="P16" s="196">
        <v>429</v>
      </c>
      <c r="Q16" s="196">
        <v>415</v>
      </c>
      <c r="R16" s="196">
        <v>856</v>
      </c>
      <c r="S16" s="196">
        <v>4550</v>
      </c>
      <c r="T16" s="196">
        <v>4532</v>
      </c>
      <c r="U16" s="196">
        <v>4831</v>
      </c>
      <c r="V16" s="196">
        <v>4469</v>
      </c>
      <c r="W16" s="196">
        <v>1137</v>
      </c>
      <c r="X16" s="202">
        <v>2172</v>
      </c>
      <c r="Y16" s="215">
        <v>0</v>
      </c>
      <c r="Z16" s="196">
        <v>0</v>
      </c>
      <c r="AA16" s="196">
        <v>0</v>
      </c>
      <c r="AB16" s="196">
        <v>0</v>
      </c>
      <c r="AC16" s="196">
        <v>1</v>
      </c>
      <c r="AD16" s="196">
        <v>20</v>
      </c>
      <c r="AE16" s="196">
        <v>20</v>
      </c>
      <c r="AF16" s="202">
        <v>1</v>
      </c>
      <c r="AG16" s="215">
        <v>0</v>
      </c>
      <c r="AH16" s="196">
        <v>0</v>
      </c>
      <c r="AI16" s="196">
        <v>0</v>
      </c>
      <c r="AJ16" s="216">
        <v>0</v>
      </c>
      <c r="AK16" s="195">
        <v>28</v>
      </c>
      <c r="AL16" s="196">
        <v>316</v>
      </c>
      <c r="AM16" s="196">
        <v>344</v>
      </c>
      <c r="AN16" s="202">
        <v>0</v>
      </c>
      <c r="AO16" s="283">
        <v>10</v>
      </c>
      <c r="AP16" s="168">
        <v>10</v>
      </c>
      <c r="AQ16" s="168">
        <v>10</v>
      </c>
      <c r="AR16" s="168">
        <v>10</v>
      </c>
      <c r="AS16" s="381" t="s">
        <v>702</v>
      </c>
      <c r="AT16" s="216" t="s">
        <v>424</v>
      </c>
      <c r="AU16" s="215"/>
      <c r="AV16" s="216"/>
      <c r="AW16" s="215"/>
      <c r="AX16" s="216"/>
      <c r="AY16" s="138">
        <f t="shared" ref="AY16:BB17" si="10">IF(ISNUMBER(IF(D_I="SI",S16,S16+AK16)),IF(D_I="SI",S16,S16+AK16)," - ")</f>
        <v>4550</v>
      </c>
      <c r="AZ16" s="139">
        <f t="shared" si="10"/>
        <v>4532</v>
      </c>
      <c r="BA16" s="139">
        <f t="shared" si="10"/>
        <v>4831</v>
      </c>
      <c r="BB16" s="139">
        <f t="shared" si="10"/>
        <v>4469</v>
      </c>
      <c r="BC16" s="135">
        <f>IF(ISNUMBER(W16),W16," - ")</f>
        <v>1137</v>
      </c>
      <c r="BD16" s="136">
        <f>IF(ISNUMBER(BA16/AZ16),BA16/AZ16," - ")</f>
        <v>1.0659752868490733</v>
      </c>
      <c r="BE16" s="137">
        <f>IF(ISNUMBER(BB16/BA16),BB16/BA16, " - ")</f>
        <v>0.92506727385634446</v>
      </c>
      <c r="BF16" s="137">
        <f>IF(ISNUMBER(BC16/BA16),BC16/BA16, " - ")</f>
        <v>0.2353549989650176</v>
      </c>
      <c r="BG16" s="209">
        <f t="shared" ref="BG16:BG22" si="11">IF(ISNUMBER((AY16+AZ16)/BA16),(AY16+AZ16)/BA16," - ")</f>
        <v>1.8799420409853032</v>
      </c>
      <c r="BH16" s="168">
        <v>10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t="s">
        <v>651</v>
      </c>
      <c r="J17" s="196" t="s">
        <v>647</v>
      </c>
      <c r="K17" s="196" t="s">
        <v>648</v>
      </c>
      <c r="L17" s="196" t="s">
        <v>649</v>
      </c>
      <c r="M17" s="196" t="s">
        <v>654</v>
      </c>
      <c r="N17" s="196" t="s">
        <v>200</v>
      </c>
      <c r="O17" s="194" t="s">
        <v>287</v>
      </c>
      <c r="P17" s="196" t="s">
        <v>633</v>
      </c>
      <c r="Q17" s="196" t="s">
        <v>634</v>
      </c>
      <c r="R17" s="196" t="s">
        <v>635</v>
      </c>
      <c r="S17" s="196"/>
      <c r="T17" s="196"/>
      <c r="U17" s="196"/>
      <c r="V17" s="196"/>
      <c r="W17" s="196"/>
      <c r="X17" s="202"/>
      <c r="Y17" s="215"/>
      <c r="Z17" s="196"/>
      <c r="AA17" s="196"/>
      <c r="AB17" s="196"/>
      <c r="AC17" s="196" t="s">
        <v>66</v>
      </c>
      <c r="AD17" s="196" t="s">
        <v>75</v>
      </c>
      <c r="AE17" s="196" t="s">
        <v>76</v>
      </c>
      <c r="AF17" s="202" t="s">
        <v>77</v>
      </c>
      <c r="AG17" s="215"/>
      <c r="AH17" s="196"/>
      <c r="AI17" s="196"/>
      <c r="AJ17" s="216"/>
      <c r="AK17" s="195"/>
      <c r="AL17" s="196"/>
      <c r="AM17" s="196"/>
      <c r="AN17" s="202"/>
      <c r="AO17" s="283">
        <v>0</v>
      </c>
      <c r="AP17" s="168">
        <v>0</v>
      </c>
      <c r="AQ17" s="168">
        <v>0</v>
      </c>
      <c r="AR17" s="168">
        <v>0</v>
      </c>
      <c r="AS17" s="381" t="s">
        <v>650</v>
      </c>
      <c r="AT17" s="216"/>
      <c r="AU17" s="215"/>
      <c r="AV17" s="216"/>
      <c r="AW17" s="215"/>
      <c r="AX17" s="216"/>
      <c r="AY17" s="136" t="str">
        <f t="shared" si="10"/>
        <v xml:space="preserve"> - </v>
      </c>
      <c r="AZ17" s="137" t="str">
        <f t="shared" si="10"/>
        <v xml:space="preserve"> - </v>
      </c>
      <c r="BA17" s="137" t="str">
        <f t="shared" si="10"/>
        <v xml:space="preserve"> - </v>
      </c>
      <c r="BB17" s="137" t="str">
        <f t="shared" si="10"/>
        <v xml:space="preserve"> - </v>
      </c>
      <c r="BC17" s="135" t="str">
        <f>IF(ISNUMBER(W17),W17," - ")</f>
        <v xml:space="preserve"> - </v>
      </c>
      <c r="BD17" s="136" t="str">
        <f t="shared" ref="BD17:BD22" si="12">IF(ISNUMBER(BA17/AZ17),BA17/AZ17," - ")</f>
        <v xml:space="preserve"> - </v>
      </c>
      <c r="BE17" s="137" t="str">
        <f t="shared" ref="BE17:BE22" si="13">IF(ISNUMBER(BB17/BA17),BB17/BA17, " - ")</f>
        <v xml:space="preserve"> - </v>
      </c>
      <c r="BF17" s="137" t="str">
        <f t="shared" ref="BF17:BF22" si="14">IF(ISNUMBER(BC17/BA17),BC17/BA17, " - ")</f>
        <v xml:space="preserve"> - </v>
      </c>
      <c r="BG17" s="209" t="str">
        <f t="shared" si="11"/>
        <v xml:space="preserve"> - </v>
      </c>
      <c r="BH17" s="168">
        <v>0</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598</v>
      </c>
      <c r="J18" s="196">
        <v>626</v>
      </c>
      <c r="K18" s="196">
        <v>701</v>
      </c>
      <c r="L18" s="196">
        <v>532</v>
      </c>
      <c r="M18" s="196">
        <v>100</v>
      </c>
      <c r="N18" s="196">
        <v>313</v>
      </c>
      <c r="O18" s="196">
        <v>0</v>
      </c>
      <c r="P18" s="196">
        <v>16</v>
      </c>
      <c r="Q18" s="196">
        <v>19</v>
      </c>
      <c r="R18" s="196">
        <v>20</v>
      </c>
      <c r="S18" s="196">
        <v>574</v>
      </c>
      <c r="T18" s="196">
        <v>551</v>
      </c>
      <c r="U18" s="196">
        <v>567</v>
      </c>
      <c r="V18" s="196">
        <v>564</v>
      </c>
      <c r="W18" s="196">
        <v>81</v>
      </c>
      <c r="X18" s="202">
        <v>277</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2</v>
      </c>
      <c r="AP18" s="168">
        <v>2</v>
      </c>
      <c r="AQ18" s="167">
        <v>2</v>
      </c>
      <c r="AR18" s="168">
        <v>2</v>
      </c>
      <c r="AS18" s="380" t="s">
        <v>1065</v>
      </c>
      <c r="AT18" s="223"/>
      <c r="AU18" s="213"/>
      <c r="AV18" s="223"/>
      <c r="AW18" s="213"/>
      <c r="AX18" s="223"/>
      <c r="AY18" s="138">
        <f t="shared" ref="AY18:BB19" si="15">IF(ISNUMBER(S18),S18," - ")</f>
        <v>574</v>
      </c>
      <c r="AZ18" s="139">
        <f t="shared" si="15"/>
        <v>551</v>
      </c>
      <c r="BA18" s="139">
        <f t="shared" si="15"/>
        <v>567</v>
      </c>
      <c r="BB18" s="139">
        <f t="shared" si="15"/>
        <v>564</v>
      </c>
      <c r="BC18" s="135">
        <f>IF(ISNUMBER(W18),W18," - ")</f>
        <v>81</v>
      </c>
      <c r="BD18" s="136">
        <f>IF(ISNUMBER(BA18/AZ18),BA18/AZ18," - ")</f>
        <v>1.029038112522686</v>
      </c>
      <c r="BE18" s="137">
        <f>IF(ISNUMBER(BB18/BA18),BB18/BA18, " - ")</f>
        <v>0.99470899470899465</v>
      </c>
      <c r="BF18" s="137">
        <f>IF(ISNUMBER(BC18/BA18),BC18/BA18, " - ")</f>
        <v>0.14285714285714285</v>
      </c>
      <c r="BG18" s="209">
        <f>IF(ISNUMBER((AY18+AZ18)/BA18),(AY18+AZ18)/BA18," - ")</f>
        <v>1.9841269841269842</v>
      </c>
      <c r="BH18" s="168">
        <v>2</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5102</v>
      </c>
      <c r="J23" s="197">
        <f t="shared" si="21"/>
        <v>5708</v>
      </c>
      <c r="K23" s="197">
        <f t="shared" si="21"/>
        <v>6090</v>
      </c>
      <c r="L23" s="197">
        <f t="shared" si="21"/>
        <v>5063</v>
      </c>
      <c r="M23" s="197">
        <f t="shared" si="21"/>
        <v>1259</v>
      </c>
      <c r="N23" s="197">
        <f t="shared" si="21"/>
        <v>2876</v>
      </c>
      <c r="O23" s="197">
        <f t="shared" si="21"/>
        <v>0</v>
      </c>
      <c r="P23" s="197">
        <f t="shared" si="21"/>
        <v>445</v>
      </c>
      <c r="Q23" s="197">
        <f t="shared" si="21"/>
        <v>434</v>
      </c>
      <c r="R23" s="197">
        <f t="shared" si="21"/>
        <v>876</v>
      </c>
      <c r="S23" s="197">
        <f t="shared" si="21"/>
        <v>5124</v>
      </c>
      <c r="T23" s="197">
        <f t="shared" si="21"/>
        <v>5083</v>
      </c>
      <c r="U23" s="197">
        <f t="shared" si="21"/>
        <v>5398</v>
      </c>
      <c r="V23" s="197">
        <f t="shared" si="21"/>
        <v>5033</v>
      </c>
      <c r="W23" s="197">
        <f t="shared" si="21"/>
        <v>1218</v>
      </c>
      <c r="X23" s="197">
        <f t="shared" si="21"/>
        <v>2449</v>
      </c>
      <c r="Y23" s="197">
        <f t="shared" si="21"/>
        <v>0</v>
      </c>
      <c r="Z23" s="197">
        <f t="shared" si="21"/>
        <v>0</v>
      </c>
      <c r="AA23" s="197">
        <f t="shared" si="21"/>
        <v>0</v>
      </c>
      <c r="AB23" s="197">
        <f t="shared" si="21"/>
        <v>0</v>
      </c>
      <c r="AC23" s="197">
        <f t="shared" si="21"/>
        <v>1</v>
      </c>
      <c r="AD23" s="197">
        <f t="shared" si="21"/>
        <v>20</v>
      </c>
      <c r="AE23" s="197">
        <f t="shared" si="21"/>
        <v>20</v>
      </c>
      <c r="AF23" s="197">
        <f t="shared" si="21"/>
        <v>1</v>
      </c>
      <c r="AG23" s="197">
        <f t="shared" si="21"/>
        <v>0</v>
      </c>
      <c r="AH23" s="197">
        <f t="shared" si="21"/>
        <v>0</v>
      </c>
      <c r="AI23" s="197">
        <f t="shared" si="21"/>
        <v>0</v>
      </c>
      <c r="AJ23" s="197">
        <f t="shared" si="21"/>
        <v>0</v>
      </c>
      <c r="AK23" s="197">
        <f t="shared" si="21"/>
        <v>28</v>
      </c>
      <c r="AL23" s="197">
        <f t="shared" si="21"/>
        <v>316</v>
      </c>
      <c r="AM23" s="197">
        <f t="shared" si="21"/>
        <v>344</v>
      </c>
      <c r="AN23" s="197">
        <f t="shared" si="21"/>
        <v>0</v>
      </c>
      <c r="AO23" s="197">
        <f t="shared" si="21"/>
        <v>12</v>
      </c>
      <c r="AP23" s="197">
        <f t="shared" si="21"/>
        <v>12</v>
      </c>
      <c r="AQ23" s="197">
        <f t="shared" si="21"/>
        <v>12</v>
      </c>
      <c r="AR23" s="197">
        <f t="shared" si="21"/>
        <v>12</v>
      </c>
      <c r="AS23" s="197">
        <f t="shared" si="21"/>
        <v>0</v>
      </c>
      <c r="AT23" s="197">
        <f t="shared" si="21"/>
        <v>0</v>
      </c>
      <c r="AU23" s="217"/>
      <c r="AV23" s="142"/>
      <c r="AW23" s="217"/>
      <c r="AX23" s="142"/>
      <c r="AY23" s="197">
        <f>SUBTOTAL(9,AY15:AY22)</f>
        <v>5124</v>
      </c>
      <c r="AZ23" s="197">
        <f>SUBTOTAL(9,AZ15:AZ22)</f>
        <v>5083</v>
      </c>
      <c r="BA23" s="197">
        <f>SUBTOTAL(9,BA15:BA22)</f>
        <v>5398</v>
      </c>
      <c r="BB23" s="197">
        <f>SUBTOTAL(9,BB15:BB22)</f>
        <v>5033</v>
      </c>
      <c r="BC23" s="197">
        <f>SUBTOTAL(9,BC15:BC22)</f>
        <v>1218</v>
      </c>
      <c r="BD23" s="219">
        <f>IF(ISNUMBER(BA23/AZ23),BA23/AZ23," - ")</f>
        <v>1.0619712768050364</v>
      </c>
      <c r="BE23" s="220">
        <f>IF(ISNUMBER(BB23/BA23),BB23/BA23, " - ")</f>
        <v>0.93238236383845874</v>
      </c>
      <c r="BF23" s="220">
        <f>IF(ISNUMBER(BC23/BA23),BC23/BA23, " - ")</f>
        <v>0.22563912560207483</v>
      </c>
      <c r="BG23" s="221">
        <f>IF(ISNUMBER((AY23+AZ23)/BA23),(AY23+AZ23)/BA23," - ")</f>
        <v>1.8908855131530196</v>
      </c>
      <c r="BH23" s="197">
        <f>SUBTOTAL(9,BH15:BH22)</f>
        <v>12</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21325</v>
      </c>
      <c r="J31" s="144">
        <f t="shared" si="36"/>
        <v>13153</v>
      </c>
      <c r="K31" s="144">
        <f t="shared" si="36"/>
        <v>12355</v>
      </c>
      <c r="L31" s="144">
        <f t="shared" si="36"/>
        <v>22482</v>
      </c>
      <c r="M31" s="144">
        <f t="shared" si="36"/>
        <v>3562</v>
      </c>
      <c r="N31" s="144">
        <f t="shared" si="36"/>
        <v>5193</v>
      </c>
      <c r="O31" s="144">
        <f t="shared" si="36"/>
        <v>2662</v>
      </c>
      <c r="P31" s="144">
        <f t="shared" si="36"/>
        <v>1306</v>
      </c>
      <c r="Q31" s="144">
        <f t="shared" si="36"/>
        <v>1384</v>
      </c>
      <c r="R31" s="144">
        <f t="shared" si="36"/>
        <v>10555</v>
      </c>
      <c r="S31" s="144">
        <f t="shared" si="36"/>
        <v>22221</v>
      </c>
      <c r="T31" s="144">
        <f t="shared" si="36"/>
        <v>10532</v>
      </c>
      <c r="U31" s="144">
        <f t="shared" si="36"/>
        <v>11419</v>
      </c>
      <c r="V31" s="144">
        <f t="shared" si="36"/>
        <v>21554</v>
      </c>
      <c r="W31" s="144">
        <f t="shared" si="36"/>
        <v>3907</v>
      </c>
      <c r="X31" s="144">
        <f t="shared" si="36"/>
        <v>4458</v>
      </c>
      <c r="Y31" s="144">
        <f t="shared" si="36"/>
        <v>466</v>
      </c>
      <c r="Z31" s="144">
        <f t="shared" si="36"/>
        <v>887</v>
      </c>
      <c r="AA31" s="144">
        <f t="shared" si="36"/>
        <v>882</v>
      </c>
      <c r="AB31" s="144">
        <f t="shared" si="36"/>
        <v>475</v>
      </c>
      <c r="AC31" s="144">
        <f t="shared" si="36"/>
        <v>1</v>
      </c>
      <c r="AD31" s="144">
        <f t="shared" si="36"/>
        <v>20</v>
      </c>
      <c r="AE31" s="144">
        <f t="shared" si="36"/>
        <v>20</v>
      </c>
      <c r="AF31" s="144">
        <f t="shared" si="36"/>
        <v>1</v>
      </c>
      <c r="AG31" s="144">
        <f t="shared" si="36"/>
        <v>473</v>
      </c>
      <c r="AH31" s="144">
        <f t="shared" si="36"/>
        <v>1043</v>
      </c>
      <c r="AI31" s="144">
        <f t="shared" si="36"/>
        <v>971</v>
      </c>
      <c r="AJ31" s="144">
        <f t="shared" si="36"/>
        <v>548</v>
      </c>
      <c r="AK31" s="144">
        <f t="shared" si="36"/>
        <v>28</v>
      </c>
      <c r="AL31" s="144">
        <f t="shared" si="36"/>
        <v>316</v>
      </c>
      <c r="AM31" s="144">
        <f t="shared" si="36"/>
        <v>344</v>
      </c>
      <c r="AN31" s="224">
        <f t="shared" si="36"/>
        <v>0</v>
      </c>
      <c r="AO31" s="225">
        <v>28</v>
      </c>
      <c r="AP31" s="225">
        <v>28</v>
      </c>
      <c r="AQ31" s="225">
        <v>28</v>
      </c>
      <c r="AR31" s="225">
        <v>28</v>
      </c>
      <c r="AS31" s="166">
        <f t="shared" si="36"/>
        <v>0</v>
      </c>
      <c r="AT31" s="166">
        <f t="shared" si="36"/>
        <v>0</v>
      </c>
      <c r="AU31" s="225"/>
      <c r="AV31" s="226"/>
      <c r="AW31" s="225"/>
      <c r="AX31" s="226"/>
      <c r="AY31" s="143">
        <f>SUBTOTAL(9,AY9:AY30)</f>
        <v>22694</v>
      </c>
      <c r="AZ31" s="144">
        <f>SUBTOTAL(9,AZ9:AZ30)</f>
        <v>11575</v>
      </c>
      <c r="BA31" s="144">
        <f>SUBTOTAL(9,BA9:BA30)</f>
        <v>12390</v>
      </c>
      <c r="BB31" s="144">
        <f>SUBTOTAL(9,BB9:BB30)</f>
        <v>22102</v>
      </c>
      <c r="BC31" s="145">
        <f>SUBTOTAL(9,BC9:BC30)</f>
        <v>3240</v>
      </c>
      <c r="BD31" s="227">
        <f>IF(ISNUMBER(BA31/AZ31),BA31/AZ31," - ")</f>
        <v>1.0704103671706264</v>
      </c>
      <c r="BE31" s="224">
        <f>IF(ISNUMBER(BB31/BA31),BB31/BA31, " - ")</f>
        <v>1.783857949959645</v>
      </c>
      <c r="BF31" s="224">
        <f>IF(ISNUMBER(BC31/BA31),BC31/BA31, " - ")</f>
        <v>0.26150121065375304</v>
      </c>
      <c r="BG31" s="145">
        <f>IF(ISNUMBER((AY31+AZ31)/BA31),(AY31+AZ31)/BA31," - ")</f>
        <v>2.7658595641646491</v>
      </c>
      <c r="BH31" s="225">
        <f>SUBTOTAL(9,BH9:BH30)</f>
        <v>30</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dtijVCGD/naAMAE7vkSpvV6fuMWUUbbkSQpjLFNzUlbzPLAHPafwSfFjvhIjD8W+boCw4V70mAfypZemiM1j8w==" saltValue="lsnZAIzuaXFvRJGNjpndm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PAIS VASCO</v>
      </c>
    </row>
    <row r="4" spans="1:155" ht="13.5" thickBot="1">
      <c r="A4" t="str">
        <f>Criterios!A10</f>
        <v>Provincias</v>
      </c>
      <c r="B4" t="str">
        <f>Criterios!B10</f>
        <v>BIZKAIA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eA9bdig9C9DP0xYe9y+WDFBtN5F+cH9lEKEacoXmUSAS+RhLCpQ3ofe3m6cmkcjY31CZE95bKFh4myjyCNS7CA==" saltValue="chDxYTIdt3RlxyxhE4HlJ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PAIS VASCO</v>
      </c>
      <c r="F1" s="578"/>
    </row>
    <row r="2" spans="1:74" ht="16.5" customHeight="1">
      <c r="C2" s="567" t="str">
        <f>Criterios!A10 &amp;"  "&amp;Criterios!B10 &amp; "  " &amp; IF(NOT(ISBLANK(Criterios!A11)),Criterios!A11 &amp;"  "&amp;Criterios!B11,"")</f>
        <v>Provincias  BIZKAIA  Resumenes por Partidos Judiciales  BILBAO</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13</v>
      </c>
      <c r="B9" s="745" t="s">
        <v>321</v>
      </c>
      <c r="C9" s="765" t="str">
        <f>Datos!A9</f>
        <v xml:space="preserve">Jdos. 1ª Instancia   </v>
      </c>
      <c r="D9" s="593"/>
      <c r="E9" s="764">
        <f>IF(ISNUMBER(Datos!AQ9),Datos!AQ9," - ")</f>
        <v>13</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f>IF(ISNUMBER(Datos!Z9),Datos!Z9," - ")</f>
        <v>837</v>
      </c>
      <c r="O9" s="549"/>
      <c r="P9" s="549"/>
      <c r="Q9" s="547">
        <f>IF(ISNUMBER(Datos!P9),Datos!P9,0)</f>
        <v>779</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f>IF(ISNUMBER(Datos!Q9),Datos!Q9," - ")</f>
        <v>845</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f>IF(ISNUMBER(Datos!AB9),Datos!AB9,"-")</f>
        <v>419</v>
      </c>
      <c r="AI9" s="549" t="str">
        <f>IF(ISNUMBER(Datos!CD9),Datos!CD9,"-")</f>
        <v>-</v>
      </c>
      <c r="AJ9" s="549" t="str">
        <f>IF(ISNUMBER(Datos!EN9),Datos!EN9," - ")</f>
        <v xml:space="preserve"> - </v>
      </c>
      <c r="AK9" s="549"/>
      <c r="AL9" s="550"/>
      <c r="AM9" s="766">
        <f>IF(ISNUMBER(Datos!R9),Datos!R9," - ")</f>
        <v>8592</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f>IF(ISNUMBER(Datos!M9),Datos!M9," - ")</f>
        <v>2044</v>
      </c>
      <c r="BD9" s="693">
        <f>IF(ISNUMBER(Datos!N9),Datos!N9," - ")</f>
        <v>2092</v>
      </c>
      <c r="BE9" s="693" t="str">
        <f>IF(ISNUMBER(Datos!BW9),Datos!BW9," - ")</f>
        <v xml:space="preserve"> - </v>
      </c>
      <c r="BF9" s="762" t="str">
        <f>IF(ISNUMBER(Datos!BX9),Datos!BX9," - ")</f>
        <v xml:space="preserve"> - </v>
      </c>
      <c r="BG9" s="763">
        <f>IF(ISNUMBER(IF(J_V="SI",Datos!K9/Datos!J9,(Datos!K9+Datos!AA9)/(Datos!J9+Datos!Z9))),IF(J_V="SI",Datos!K9/Datos!J9,(Datos!K9+Datos!AA9)/(Datos!J9+Datos!Z9))," - ")</f>
        <v>0.84813114754098362</v>
      </c>
      <c r="BH9" s="764">
        <f>IF(ISNUMBER(((IF(J_V="SI",Datos!L9/Datos!K9,(Datos!L9+Datos!AB9)/(Datos!K9+Datos!AA9)))*11)/factor_trimestre),((IF(J_V="SI",Datos!L9/Datos!K9,(Datos!L9+Datos!AB9)/(Datos!K9+Datos!AA9)))*11)/factor_trimestre," - ")</f>
        <v>7.6468223287459418</v>
      </c>
      <c r="BI9" s="763"/>
      <c r="BJ9" s="555" t="str">
        <f>IF(ISNUMBER(Datos!CI9/Datos!CJ9),Datos!CI9/Datos!CJ9," - ")</f>
        <v xml:space="preserve"> - </v>
      </c>
      <c r="BK9" s="748" t="str">
        <f>IF(ISNUMBER(Datos!CJ9),Datos!CJ9," - ")</f>
        <v xml:space="preserve"> - </v>
      </c>
      <c r="BL9" s="555" t="str">
        <f>IF(ISNUMBER((J9-AB9+L9)/(F9)),(J9-AB9+L9)/(F9)," - ")</f>
        <v xml:space="preserve"> - </v>
      </c>
      <c r="BM9" s="767">
        <f>IF(ISNUMBER((Datos!P9-Datos!Q9+Datos!DE9)/(Datos!R9-Datos!P9+Datos!Q9-Datos!DE9)),(Datos!P9-Datos!Q9+Datos!DE9)/(Datos!R9-Datos!P9+Datos!Q9-Datos!DE9)," - ")</f>
        <v>-7.6230076230076231E-3</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2</v>
      </c>
      <c r="B10" s="746" t="s">
        <v>321</v>
      </c>
      <c r="C10" s="747" t="str">
        <f>Datos!A10</f>
        <v>Jdos. Violencia contra la mujer</v>
      </c>
      <c r="D10" s="601"/>
      <c r="E10" s="764">
        <f>IF(ISNUMBER(Datos!AQ10),Datos!AQ10," - ")</f>
        <v>2</v>
      </c>
      <c r="F10" s="552">
        <f>IF(ISNUMBER(Datos!L10+Datos!K10-Datos!J10),Datos!L10+Datos!K10-Datos!J10," - ")</f>
        <v>264</v>
      </c>
      <c r="G10" s="543">
        <f>IF(ISNUMBER(Datos!I10),Datos!I10," - ")</f>
        <v>264</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18</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95</v>
      </c>
      <c r="AC10" s="547">
        <f>IF(ISNUMBER(Datos!Q10),Datos!Q10," - ")</f>
        <v>23</v>
      </c>
      <c r="AD10" s="549"/>
      <c r="AE10" s="563"/>
      <c r="AF10" s="551">
        <f>IF(ISNUMBER(Datos!L10),Datos!L10,"-")</f>
        <v>305</v>
      </c>
      <c r="AG10" s="549"/>
      <c r="AH10" s="549"/>
      <c r="AI10" s="549"/>
      <c r="AJ10" s="549"/>
      <c r="AK10" s="549"/>
      <c r="AL10" s="550"/>
      <c r="AM10" s="766">
        <f>IF(ISNUMBER(Datos!R10),Datos!R10," - ")</f>
        <v>203</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36</v>
      </c>
      <c r="BD10" s="693">
        <f>IF(ISNUMBER(Datos!N10),Datos!N10," - ")</f>
        <v>24</v>
      </c>
      <c r="BE10" s="693" t="str">
        <f>IF(ISNUMBER(Datos!BW10),Datos!BW10," - ")</f>
        <v xml:space="preserve"> - </v>
      </c>
      <c r="BF10" s="762" t="str">
        <f>IF(ISNUMBER(Datos!BX10),Datos!BX10," - ")</f>
        <v xml:space="preserve"> - </v>
      </c>
      <c r="BG10" s="763">
        <f>IF(ISNUMBER(Datos!K10/Datos!J10),Datos!K10/Datos!J10," - ")</f>
        <v>0.69852941176470584</v>
      </c>
      <c r="BH10" s="764">
        <f>IF(ISNUMBER(((Datos!L10/Datos!K10)*11)/factor_trimestre),((Datos!L10/Datos!K10)*11)/factor_trimestre," - ")</f>
        <v>9.6315789473684212</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-2.403846153846154E-2</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3</v>
      </c>
      <c r="B11" s="746" t="s">
        <v>321</v>
      </c>
      <c r="C11" s="747" t="str">
        <f>Datos!A11</f>
        <v xml:space="preserve">Jdos. Familia                                   </v>
      </c>
      <c r="D11" s="601"/>
      <c r="E11" s="764">
        <f>IF(ISNUMBER(Datos!AQ11),Datos!AQ11," - ")</f>
        <v>3</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f>IF(ISNUMBER(Datos!Z11),Datos!Z11," - ")</f>
        <v>50</v>
      </c>
      <c r="O11" s="549"/>
      <c r="P11" s="549"/>
      <c r="Q11" s="547">
        <f>IF(ISNUMBER(Datos!P11),Datos!P11,0)</f>
        <v>64</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f>IF(ISNUMBER(Datos!Q11),Datos!Q11," - ")</f>
        <v>82</v>
      </c>
      <c r="AD11" s="549"/>
      <c r="AE11" s="563"/>
      <c r="AF11" s="551" t="str">
        <f>IF(ISNUMBER(IF(J_V="SI",Datos!L11,Datos!L11+Datos!AB11)-IF(Monitorios="SI",Datos!CD11,0)),
                          IF(J_V="SI",Datos!L11,Datos!L11+Datos!AB11)-IF(Monitorios="SI",Datos!CD11,0),
                          " - ")</f>
        <v xml:space="preserve"> - </v>
      </c>
      <c r="AG11" s="549"/>
      <c r="AH11" s="549">
        <f>IF(ISNUMBER(Datos!AB11),Datos!AB11,"-")</f>
        <v>56</v>
      </c>
      <c r="AI11" s="549"/>
      <c r="AJ11" s="549"/>
      <c r="AK11" s="549"/>
      <c r="AL11" s="550"/>
      <c r="AM11" s="766">
        <f>IF(ISNUMBER(Datos!R11),Datos!R11," - ")</f>
        <v>884</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f>IF(ISNUMBER(Datos!M11),Datos!M11," - ")</f>
        <v>223</v>
      </c>
      <c r="BD11" s="693">
        <f>IF(ISNUMBER(Datos!N11),Datos!N11," - ")</f>
        <v>201</v>
      </c>
      <c r="BE11" s="693" t="str">
        <f>IF(ISNUMBER(Datos!BW11),Datos!BW11," - ")</f>
        <v xml:space="preserve"> - </v>
      </c>
      <c r="BF11" s="762" t="str">
        <f>IF(ISNUMBER(Datos!BX11),Datos!BX11," - ")</f>
        <v xml:space="preserve"> - </v>
      </c>
      <c r="BG11" s="763">
        <f>IF(ISNUMBER(IF(J_V="SI",Datos!K11/Datos!J11,(Datos!K11+Datos!AA11)/(Datos!J11+Datos!Z11))),IF(J_V="SI",Datos!K11/Datos!J11,(Datos!K11+Datos!AA11)/(Datos!J11+Datos!Z11))," - ")</f>
        <v>1.0245183887915936</v>
      </c>
      <c r="BH11" s="764">
        <f>IF(ISNUMBER(((IF(J_V="SI",Datos!L11/Datos!K11,(Datos!L11+Datos!AB11)/(Datos!K11+Datos!AA11)))*11)/factor_trimestre),((IF(J_V="SI",Datos!L11/Datos!K11,(Datos!L11+Datos!AB11)/(Datos!K11+Datos!AA11)))*11)/factor_trimestre," - ")</f>
        <v>5.666666666666667</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f>IF(ISNUMBER((Datos!P11-Datos!Q11+Datos!DE11)/(Datos!R11-Datos!P11+Datos!Q11-Datos!DE11)),(Datos!P11-Datos!Q11+Datos!DE11)/(Datos!R11-Datos!P11+Datos!Q11-Datos!DE11)," - ")</f>
        <v>-1.9955654101995565E-2</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0</v>
      </c>
      <c r="B12" s="746" t="s">
        <v>321</v>
      </c>
      <c r="C12" s="747" t="str">
        <f>Datos!A12</f>
        <v xml:space="preserve">Jdos. 1ª Instª. e Instr.                        </v>
      </c>
      <c r="D12" s="601"/>
      <c r="E12" s="764">
        <f>IF(ISNUMBER(Datos!AQ12),Datos!AQ12," - ")</f>
        <v>0</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t="str">
        <f>IF(ISNUMBER(Datos!Z12),Datos!Z12," - ")</f>
        <v xml:space="preserve"> - </v>
      </c>
      <c r="O12" s="549"/>
      <c r="P12" s="549"/>
      <c r="Q12" s="547">
        <f>IF(ISNUMBER(Datos!P12),Datos!P12,0)</f>
        <v>0</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t="str">
        <f>IF(ISNUMBER(Datos!Q12),Datos!Q12," - ")</f>
        <v xml:space="preserve"> - </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t="str">
        <f>IF(ISNUMBER(Datos!AB12),Datos!AB12,"-")</f>
        <v>-</v>
      </c>
      <c r="AI12" s="549" t="str">
        <f>IF(ISNUMBER(Datos!CD12),Datos!CD12,"-")</f>
        <v>-</v>
      </c>
      <c r="AJ12" s="549" t="str">
        <f>IF(ISNUMBER(Datos!EN12),Datos!EN12," - ")</f>
        <v xml:space="preserve"> - </v>
      </c>
      <c r="AK12" s="549"/>
      <c r="AL12" s="550"/>
      <c r="AM12" s="766" t="str">
        <f>IF(ISNUMBER(Datos!R12),Datos!R12," - ")</f>
        <v xml:space="preserve"> - </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t="str">
        <f>IF(ISNUMBER(Datos!M12),Datos!M12," - ")</f>
        <v xml:space="preserve"> - </v>
      </c>
      <c r="BD12" s="693" t="str">
        <f>IF(ISNUMBER(Datos!N12),Datos!N12," - ")</f>
        <v xml:space="preserve"> - </v>
      </c>
      <c r="BE12" s="693" t="str">
        <f>IF(ISNUMBER(Datos!BW12),Datos!BW12," - ")</f>
        <v xml:space="preserve"> - </v>
      </c>
      <c r="BF12" s="762" t="str">
        <f>IF(ISNUMBER(Datos!BX12),Datos!BX12," - ")</f>
        <v xml:space="preserve"> - </v>
      </c>
      <c r="BG12" s="763" t="str">
        <f>IF(ISNUMBER(IF(J_V="SI",Datos!K12/Datos!J12,(Datos!K12+Datos!AA12)/(Datos!J12+Datos!Z12))),IF(J_V="SI",Datos!K12/Datos!J12,(Datos!K12+Datos!AA12)/(Datos!J12+Datos!Z12))," - ")</f>
        <v xml:space="preserve"> - </v>
      </c>
      <c r="BH12" s="764" t="str">
        <f>IF(ISNUMBER(((IF(J_V="SI",Datos!L12/Datos!K12,(Datos!L12+Datos!AB12)/(Datos!K12+Datos!AA12)))*11)/factor_trimestre),((IF(J_V="SI",Datos!L12/Datos!K12,(Datos!L12+Datos!AB12)/(Datos!K12+Datos!AA12)))*11)/factor_trimestre," - ")</f>
        <v xml:space="preserve"> - </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t="str">
        <f>IF(ISNUMBER((Datos!P12-Datos!Q12+Datos!DE12)/(Datos!R12-Datos!P12+Datos!Q12-Datos!DE12)),(Datos!P12-Datos!Q12+Datos!DE12)/(Datos!R12-Datos!P12+Datos!Q12-Datos!DE12)," - ")</f>
        <v xml:space="preserve"> - </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18</v>
      </c>
      <c r="F14" s="1197">
        <f t="shared" si="1"/>
        <v>264</v>
      </c>
      <c r="G14" s="1197">
        <f t="shared" si="1"/>
        <v>264</v>
      </c>
      <c r="H14" s="1198">
        <f t="shared" si="1"/>
        <v>0</v>
      </c>
      <c r="I14" s="1197">
        <f t="shared" si="1"/>
        <v>0</v>
      </c>
      <c r="J14" s="1164">
        <f t="shared" si="1"/>
        <v>0</v>
      </c>
      <c r="K14" s="1164">
        <f t="shared" si="1"/>
        <v>0</v>
      </c>
      <c r="L14" s="1198">
        <f t="shared" si="1"/>
        <v>0</v>
      </c>
      <c r="M14" s="1198">
        <f t="shared" si="1"/>
        <v>0</v>
      </c>
      <c r="N14" s="1198">
        <f t="shared" si="1"/>
        <v>887</v>
      </c>
      <c r="O14" s="1199">
        <f t="shared" si="1"/>
        <v>0</v>
      </c>
      <c r="P14" s="1199">
        <f t="shared" si="1"/>
        <v>0</v>
      </c>
      <c r="Q14" s="1198">
        <f t="shared" si="1"/>
        <v>861</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95</v>
      </c>
      <c r="AC14" s="1198">
        <f t="shared" si="2"/>
        <v>950</v>
      </c>
      <c r="AD14" s="1198">
        <f t="shared" si="2"/>
        <v>0</v>
      </c>
      <c r="AE14" s="1198">
        <f t="shared" si="2"/>
        <v>0</v>
      </c>
      <c r="AF14" s="1198">
        <f t="shared" si="2"/>
        <v>305</v>
      </c>
      <c r="AG14" s="1198">
        <f t="shared" si="2"/>
        <v>0</v>
      </c>
      <c r="AH14" s="1198">
        <f t="shared" si="2"/>
        <v>475</v>
      </c>
      <c r="AI14" s="1198">
        <f t="shared" si="2"/>
        <v>0</v>
      </c>
      <c r="AJ14" s="1198">
        <f t="shared" si="2"/>
        <v>0</v>
      </c>
      <c r="AK14" s="1198">
        <f t="shared" si="2"/>
        <v>0</v>
      </c>
      <c r="AL14" s="1198">
        <f t="shared" si="2"/>
        <v>0</v>
      </c>
      <c r="AM14" s="1198">
        <f t="shared" si="2"/>
        <v>9679</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2303</v>
      </c>
      <c r="BD14" s="1198">
        <f t="shared" si="2"/>
        <v>2317</v>
      </c>
      <c r="BE14" s="1198">
        <f t="shared" si="2"/>
        <v>0</v>
      </c>
      <c r="BF14" s="1198">
        <f t="shared" si="2"/>
        <v>0</v>
      </c>
      <c r="BG14" s="1198">
        <f>IF(ISNUMBER(Datos!K14/Datos!J14),Datos!K14/Datos!J14," - ")</f>
        <v>0.8415043653458697</v>
      </c>
      <c r="BH14" s="1202">
        <f>IF(ISNUMBER(((Datos!L14/Datos!K14)*11)/factor_trimestre),((Datos!L14/Datos!K14)*11)/factor_trimestre," - ")</f>
        <v>8.341101356743815</v>
      </c>
      <c r="BI14" s="1198">
        <f>IF(ISNUMBER('Resol  Asuntos'!D14/NºAsuntos!G14),'Resol  Asuntos'!D14/NºAsuntos!G14," - ")</f>
        <v>0.32223310479921646</v>
      </c>
      <c r="BJ14" s="1198" t="str">
        <f>IF(ISNUMBER(Datos!CI14/Datos!CJ14),Datos!CI14/Datos!CJ14," - ")</f>
        <v xml:space="preserve"> - </v>
      </c>
      <c r="BK14" s="1198">
        <f>SUBTOTAL(9,BK8:BK13)</f>
        <v>0</v>
      </c>
      <c r="BL14" s="1198">
        <f>IF(ISNUMBER((I14-AB14+L14)/(F14)),(I14-AB14+L14)/(F14)," - ")</f>
        <v>-0.35984848484848486</v>
      </c>
      <c r="BM14" s="1203">
        <f>SUBTOTAL(9,BM9:BM13)</f>
        <v>-5.1617123263464723E-2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10</v>
      </c>
      <c r="B16" s="737" t="s">
        <v>511</v>
      </c>
      <c r="C16" s="749" t="str">
        <f>Datos!A16</f>
        <v xml:space="preserve">Jdos. Instrucción                               </v>
      </c>
      <c r="D16" s="750"/>
      <c r="E16" s="1555">
        <f>IF(ISNUMBER(Datos!AQ16),Datos!AQ16," - ")</f>
        <v>10</v>
      </c>
      <c r="F16" s="740">
        <f>IF(ISNUMBER(AF16+AB16-Datos!J16-L16),AF16+AB16-Datos!J16-L16," - ")</f>
        <v>4838</v>
      </c>
      <c r="G16" s="743">
        <f>IF(ISNUMBER(IF(D_I="SI",Datos!I16,Datos!I16+Datos!AC16)),IF(D_I="SI",Datos!I16,Datos!I16+Datos!AC16)," - ")</f>
        <v>4504</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429</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f>IF(ISNUMBER(IF(D_I="SI",Datos!K16,Datos!K16+Datos!AE16)),IF(D_I="SI",Datos!K16,Datos!K16+Datos!AE16)," - ")</f>
        <v>5389</v>
      </c>
      <c r="AC16" s="240">
        <f>IF(ISNUMBER(Datos!Q16),Datos!Q16," - ")</f>
        <v>415</v>
      </c>
      <c r="AD16" s="374"/>
      <c r="AE16" s="562"/>
      <c r="AF16" s="741">
        <f>IF(ISNUMBER(IF(D_I="SI",Datos!L16,Datos!L16+Datos!AF16)),IF(D_I="SI",Datos!L16,Datos!L16+Datos!AF16)," - ")</f>
        <v>4531</v>
      </c>
      <c r="AG16" s="374"/>
      <c r="AH16" s="374"/>
      <c r="AI16" s="374"/>
      <c r="AJ16" s="549"/>
      <c r="AK16" s="374"/>
      <c r="AL16" s="545"/>
      <c r="AM16" s="375">
        <f>IF(ISNUMBER(Datos!R16),Datos!R16," - ")</f>
        <v>856</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f>IF(ISNUMBER(Datos!M16),Datos!M16," - ")</f>
        <v>1159</v>
      </c>
      <c r="BD16" s="243">
        <f>IF(ISNUMBER(Datos!N16),Datos!N16," - ")</f>
        <v>2563</v>
      </c>
      <c r="BE16" s="243" t="str">
        <f>IF(ISNUMBER(Datos!BW16),Datos!BW16," - ")</f>
        <v xml:space="preserve"> - </v>
      </c>
      <c r="BF16" s="242" t="str">
        <f>IF(ISNUMBER(Datos!BX16),Datos!BX16," - ")</f>
        <v xml:space="preserve"> - </v>
      </c>
      <c r="BG16" s="763">
        <f>IF(ISNUMBER(IF(D_I="SI",Datos!K16/Datos!J16,(Datos!K16+Datos!AE16)/(Datos!J16+Datos!AD16))),IF(D_I="SI",Datos!K16/Datos!J16,(Datos!K16+Datos!AE16)/(Datos!J16+Datos!AD16))," - ")</f>
        <v>1.060409287682015</v>
      </c>
      <c r="BH16" s="764">
        <f>IF(ISNUMBER(((IF(D_I="SI",Datos!L16/Datos!K16,(Datos!L16+Datos!AF16)/(Datos!K16+Datos!AE16)))*11)/factor_trimestre),((IF(D_I="SI",Datos!L16/Datos!K16,(Datos!L16+Datos!AF16)/(Datos!K16+Datos!AE16)))*11)/factor_trimestre," - ")</f>
        <v>2.5223603637038412</v>
      </c>
      <c r="BI16" s="266">
        <f>IF(ISNUMBER('Resol  Asuntos'!D16/NºAsuntos!G16),'Resol  Asuntos'!D16/NºAsuntos!G16," - ")</f>
        <v>0.21506773056225645</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0</v>
      </c>
      <c r="B17" s="737" t="s">
        <v>511</v>
      </c>
      <c r="C17" s="749" t="str">
        <f>Datos!A17</f>
        <v xml:space="preserve">Jdos. 1ª Instª. e Instr.                        </v>
      </c>
      <c r="D17" s="750"/>
      <c r="E17" s="1555">
        <f>IF(ISNUMBER(Datos!AQ17),Datos!AQ17," - ")</f>
        <v>0</v>
      </c>
      <c r="F17" s="740" t="str">
        <f>IF(ISNUMBER(AF17+AB17-Datos!J17-L17),AF17+AB17-Datos!J17-L17," - ")</f>
        <v xml:space="preserve"> - </v>
      </c>
      <c r="G17" s="743" t="str">
        <f>IF(ISNUMBER(IF(D_I="SI",Datos!I17,Datos!I17+Datos!AC17)),IF(D_I="SI",Datos!I17,Datos!I17+Datos!AC17)," - ")</f>
        <v xml:space="preserve"> - </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t="str">
        <f>IF(ISNUMBER(IF(D_I="SI",Datos!K17,Datos!K17+Datos!AE17)),IF(D_I="SI",Datos!K17,Datos!K17+Datos!AE17)," - ")</f>
        <v xml:space="preserve"> - </v>
      </c>
      <c r="AC17" s="240" t="str">
        <f>IF(ISNUMBER(Datos!Q17),Datos!Q17," - ")</f>
        <v xml:space="preserve"> - </v>
      </c>
      <c r="AD17" s="374"/>
      <c r="AE17" s="562"/>
      <c r="AF17" s="741" t="str">
        <f>IF(ISNUMBER(IF(D_I="SI",Datos!L17,Datos!L17+Datos!AF17)),IF(D_I="SI",Datos!L17,Datos!L17+Datos!AF17)," - ")</f>
        <v xml:space="preserve"> - </v>
      </c>
      <c r="AG17" s="374"/>
      <c r="AH17" s="374"/>
      <c r="AI17" s="374"/>
      <c r="AJ17" s="549"/>
      <c r="AK17" s="374"/>
      <c r="AL17" s="545"/>
      <c r="AM17" s="375" t="str">
        <f>IF(ISNUMBER(Datos!R17),Datos!R17," - ")</f>
        <v xml:space="preserve"> - </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t="str">
        <f>IF(ISNUMBER(Datos!M17),Datos!M17," - ")</f>
        <v xml:space="preserve"> - </v>
      </c>
      <c r="BD17" s="243" t="str">
        <f>IF(ISNUMBER(Datos!N17),Datos!N17," - ")</f>
        <v xml:space="preserve"> - </v>
      </c>
      <c r="BE17" s="243" t="str">
        <f>IF(ISNUMBER(Datos!BW17),Datos!BW17," - ")</f>
        <v xml:space="preserve"> - </v>
      </c>
      <c r="BF17" s="242" t="str">
        <f>IF(ISNUMBER(Datos!BX17),Datos!BX17," - ")</f>
        <v xml:space="preserve"> - </v>
      </c>
      <c r="BG17" s="763" t="str">
        <f>IF(ISNUMBER(IF(D_I="SI",Datos!K17/Datos!J17,(Datos!K17+Datos!AE17)/(Datos!J17+Datos!AD17))),IF(D_I="SI",Datos!K17/Datos!J17,(Datos!K17+Datos!AE17)/(Datos!J17+Datos!AD17))," - ")</f>
        <v xml:space="preserve"> - </v>
      </c>
      <c r="BH17" s="764" t="str">
        <f>IF(ISNUMBER(((IF(D_I="SI",Datos!L17/Datos!K17,(Datos!L17+Datos!AF17)/(Datos!K17+Datos!AE17)))*11)/factor_trimestre),((IF(D_I="SI",Datos!L17/Datos!K17,(Datos!L17+Datos!AF17)/(Datos!K17+Datos!AE17)))*11)/factor_trimestre," - ")</f>
        <v xml:space="preserve"> - </v>
      </c>
      <c r="BI17" s="266" t="str">
        <f>IF(ISNUMBER('Resol  Asuntos'!D17/NºAsuntos!G17),'Resol  Asuntos'!D17/NºAsuntos!G17," - ")</f>
        <v xml:space="preserve"> - </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2</v>
      </c>
      <c r="B18" s="746" t="s">
        <v>511</v>
      </c>
      <c r="C18" s="747" t="str">
        <f>Datos!A18</f>
        <v>Jdos. Violencia contra la mujer</v>
      </c>
      <c r="D18" s="601"/>
      <c r="E18" s="1380">
        <f>IF(ISNUMBER(Datos!AQ18),Datos!AQ18," - ")</f>
        <v>2</v>
      </c>
      <c r="F18" s="552" t="str">
        <f>IF(ISNUMBER(AF18+AB18-I18-L18),AF18+AB18-I18-L18," - ")</f>
        <v xml:space="preserve"> - </v>
      </c>
      <c r="G18" s="543">
        <f>IF(ISNUMBER(IF(D_I="SI",Datos!I18,Datos!I18+Datos!AC18)),IF(D_I="SI",Datos!I18,Datos!I18+Datos!AC18)," - ")</f>
        <v>598</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16</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701</v>
      </c>
      <c r="AC18" s="547">
        <f>IF(ISNUMBER(Datos!Q18),Datos!Q18," - ")</f>
        <v>19</v>
      </c>
      <c r="AD18" s="549"/>
      <c r="AE18" s="562"/>
      <c r="AF18" s="551">
        <f>IF(ISNUMBER(Datos!L18),Datos!L18,"-")</f>
        <v>532</v>
      </c>
      <c r="AG18" s="549"/>
      <c r="AH18" s="549"/>
      <c r="AI18" s="549"/>
      <c r="AJ18" s="549"/>
      <c r="AK18" s="549"/>
      <c r="AL18" s="550"/>
      <c r="AM18" s="766">
        <f>IF(ISNUMBER(Datos!R18),Datos!R18," - ")</f>
        <v>20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100</v>
      </c>
      <c r="BD18" s="693">
        <f>IF(ISNUMBER(Datos!N18),Datos!N18," - ")</f>
        <v>313</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1.1198083067092652</v>
      </c>
      <c r="BH18" s="764">
        <f>IF(ISNUMBER(((IF(D_I="SI",Datos!L18/Datos!K18,(Datos!L18+Datos!AF18)/(Datos!K18+Datos!AE18)))*11)/factor_trimestre),((IF(D_I="SI",Datos!L18/Datos!K18,(Datos!L18+Datos!AF18)/(Datos!K18+Datos!AE18)))*11)/factor_trimestre," - ")</f>
        <v>2.2767475035663343</v>
      </c>
      <c r="BI18" s="763">
        <f>IF(ISNUMBER('Resol  Asuntos'!D18/NºAsuntos!G18),'Resol  Asuntos'!D18/NºAsuntos!G18," - ")</f>
        <v>0.14265335235378032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12</v>
      </c>
      <c r="F23" s="1197">
        <f>SUBTOTAL(9,F16:F22)</f>
        <v>4838</v>
      </c>
      <c r="G23" s="1197">
        <f>SUBTOTAL(9,G16:G22)</f>
        <v>5102</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445</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6090</v>
      </c>
      <c r="AC23" s="1198">
        <f t="shared" si="5"/>
        <v>434</v>
      </c>
      <c r="AD23" s="1198">
        <f t="shared" si="5"/>
        <v>0</v>
      </c>
      <c r="AE23" s="1198">
        <f t="shared" si="5"/>
        <v>0</v>
      </c>
      <c r="AF23" s="1198">
        <f t="shared" si="5"/>
        <v>5063</v>
      </c>
      <c r="AG23" s="1198">
        <f t="shared" si="5"/>
        <v>0</v>
      </c>
      <c r="AH23" s="1198">
        <f t="shared" si="5"/>
        <v>0</v>
      </c>
      <c r="AI23" s="1198">
        <f t="shared" si="5"/>
        <v>0</v>
      </c>
      <c r="AJ23" s="1198">
        <f t="shared" si="5"/>
        <v>0</v>
      </c>
      <c r="AK23" s="1198">
        <f t="shared" si="5"/>
        <v>0</v>
      </c>
      <c r="AL23" s="1198">
        <f t="shared" si="5"/>
        <v>0</v>
      </c>
      <c r="AM23" s="1198">
        <f t="shared" si="5"/>
        <v>876</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1259</v>
      </c>
      <c r="BD23" s="1198">
        <f t="shared" si="5"/>
        <v>2876</v>
      </c>
      <c r="BE23" s="1198">
        <f t="shared" si="5"/>
        <v>0</v>
      </c>
      <c r="BF23" s="1198">
        <f t="shared" si="5"/>
        <v>0</v>
      </c>
      <c r="BG23" s="1198">
        <f>IF(ISNUMBER(Datos!K23/Datos!J23),Datos!K23/Datos!J23," - ")</f>
        <v>1.0669236159775752</v>
      </c>
      <c r="BH23" s="1202">
        <f>IF(ISNUMBER(((Datos!L23/Datos!K23)*11)/factor_trimestre),((Datos!L23/Datos!K23)*11)/factor_trimestre," - ")</f>
        <v>2.494088669950739</v>
      </c>
      <c r="BI23" s="1198">
        <f>SUBTOTAL(9,BI16:BI22)</f>
        <v>0.35772108291603677</v>
      </c>
      <c r="BJ23" s="1198">
        <f>SUBTOTAL(9,BJ16:BJ22)</f>
        <v>0</v>
      </c>
      <c r="BK23" s="1198">
        <f>SUBTOTAL(9,BK16:BK22)</f>
        <v>0</v>
      </c>
      <c r="BL23" s="1198">
        <f>IF(ISNUMBER((I23-AB23+L23)/(F23)),(I23-AB23+L23)/(F23)," - ")</f>
        <v>-1.2587846217445224</v>
      </c>
      <c r="BM23" s="1205">
        <f>IF(ISNUMBER((Datos!P23-Datos!Q23)/(Datos!R23-Datos!P23+Datos!Q23)),(Datos!P23-Datos!Q23)/(Datos!R23-Datos!P23+Datos!Q23)," - ")</f>
        <v>1.2716763005780347E-2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30</v>
      </c>
      <c r="F31" s="1117">
        <f t="shared" si="18"/>
        <v>5102</v>
      </c>
      <c r="G31" s="1117">
        <f t="shared" si="18"/>
        <v>5366</v>
      </c>
      <c r="H31" s="1119">
        <f t="shared" si="18"/>
        <v>0</v>
      </c>
      <c r="I31" s="1117">
        <f t="shared" si="18"/>
        <v>0</v>
      </c>
      <c r="J31" s="1119">
        <f t="shared" si="18"/>
        <v>0</v>
      </c>
      <c r="K31" s="1119">
        <f t="shared" si="18"/>
        <v>0</v>
      </c>
      <c r="L31" s="1180">
        <f t="shared" si="18"/>
        <v>0</v>
      </c>
      <c r="M31" s="1180">
        <f t="shared" si="18"/>
        <v>0</v>
      </c>
      <c r="N31" s="1180">
        <f t="shared" si="18"/>
        <v>887</v>
      </c>
      <c r="O31" s="1180">
        <f t="shared" si="18"/>
        <v>0</v>
      </c>
      <c r="P31" s="1180">
        <f t="shared" si="18"/>
        <v>0</v>
      </c>
      <c r="Q31" s="1119">
        <f t="shared" si="18"/>
        <v>1306</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6185</v>
      </c>
      <c r="AC31" s="1118">
        <f t="shared" si="19"/>
        <v>1384</v>
      </c>
      <c r="AD31" s="1118">
        <f t="shared" si="19"/>
        <v>0</v>
      </c>
      <c r="AE31" s="1118">
        <f t="shared" si="19"/>
        <v>0</v>
      </c>
      <c r="AF31" s="1125">
        <f t="shared" si="19"/>
        <v>5368</v>
      </c>
      <c r="AG31" s="1125">
        <f t="shared" si="19"/>
        <v>0</v>
      </c>
      <c r="AH31" s="1125">
        <f t="shared" si="19"/>
        <v>475</v>
      </c>
      <c r="AI31" s="1125">
        <f t="shared" si="19"/>
        <v>0</v>
      </c>
      <c r="AJ31" s="1118">
        <f t="shared" si="19"/>
        <v>0</v>
      </c>
      <c r="AK31" s="1125">
        <f t="shared" si="19"/>
        <v>0</v>
      </c>
      <c r="AL31" s="1125">
        <f t="shared" si="19"/>
        <v>0</v>
      </c>
      <c r="AM31" s="1125">
        <f t="shared" si="19"/>
        <v>10555</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3562</v>
      </c>
      <c r="BD31" s="1117">
        <f t="shared" si="19"/>
        <v>5193</v>
      </c>
      <c r="BE31" s="1117">
        <f t="shared" si="19"/>
        <v>0</v>
      </c>
      <c r="BF31" s="1127">
        <f t="shared" si="19"/>
        <v>0</v>
      </c>
      <c r="BG31" s="1223">
        <f>IF(ISNUMBER(Datos!K31/Datos!J31),Datos!K31/Datos!J31," - ")</f>
        <v>0.93932943054816387</v>
      </c>
      <c r="BH31" s="1223">
        <f>IF(ISNUMBER(((Datos!L31/Datos!K31)*11)/factor_trimestre),((Datos!L31/Datos!K31)*11)/factor_trimestre," - ")</f>
        <v>5.4590044516390126</v>
      </c>
      <c r="BI31" s="1103">
        <f>IF(ISNUMBER(Datos!J31/Datos!I31),Datos!J31/Datos!I31," - ")</f>
        <v>0.61678780773739739</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-1.2122696981575853</v>
      </c>
      <c r="BM31" s="1188">
        <f>IF(ISNUMBER((Datos!P31-Datos!Q31+R31)/(Datos!R31-Datos!P31+Datos!Q31-R31)),(Datos!P31-Datos!Q31+R31)/(Datos!R31-Datos!P31+Datos!Q31-R31)," - ")</f>
        <v>-7.3356531552713254E-3</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1533.1428571428571</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5.6002297363068241</v>
      </c>
      <c r="F33" s="673">
        <f>IF(ISNUMBER(STDEV(F8:F30)),STDEV(F8:F30),"-")</f>
        <v>2433.0342099252666</v>
      </c>
      <c r="G33" s="674">
        <f>IF(ISNUMBER(STDEV(G8:G30)),STDEV(G8:G30),"-")</f>
        <v>2249.4342569167202</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2731.8892991585772</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924.1273060448857</v>
      </c>
      <c r="BD33" s="673"/>
      <c r="BE33" s="673">
        <f>IF(ISNUMBER(STDEV(BE8:BE30)),STDEV(BE8:BE30),"-")</f>
        <v>0</v>
      </c>
      <c r="BF33" s="678">
        <f>IF(ISNUMBER(STDEV(BF8:BF30)),STDEV(BF8:BF30),"-")</f>
        <v>0</v>
      </c>
      <c r="BG33" s="1052">
        <f>IF(ISNUMBER(STDEV(BG8:BG30)),STDEV(BG8:BG30),"-")</f>
        <v>0.15578908172612752</v>
      </c>
      <c r="BH33" s="1058">
        <f>IF(ISNUMBER(STDEV(BH8:BH30)),STDEV(BH8:BH30),"-")</f>
        <v>3.1109677739177823</v>
      </c>
      <c r="BI33" s="273">
        <f>IF(ISNUMBER(STDEV(BI8:BI30)),STDEV(BI8:BI30),"-")</f>
        <v>9.8674824276856907E-2</v>
      </c>
      <c r="BJ33" s="244" t="str">
        <f>IF(ISNUMBER(BL33/BM33),BL33/BM33," - ")</f>
        <v xml:space="preserve"> - </v>
      </c>
      <c r="BK33" s="709"/>
      <c r="BL33" s="681">
        <f>IF(ISNUMBER(STDEV(BL8:BL30)),STDEV(BL8:BL30),"-")</f>
        <v>0.63564383825282678</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ns6aV5ktHfQ771Xl6xX0S31QMeowxRClm28i1yIsker3RLrYfRwY1jOa1tIgtw7/7Zohmfd19+GQdWXwUqShkA==" saltValue="yKoffXzWL+p+rlHuq5Xiw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PAIS VASCO</v>
      </c>
    </row>
    <row r="2" spans="1:73" ht="16.5" customHeight="1">
      <c r="C2" s="647" t="str">
        <f>Criterios!A10 &amp;"  "&amp;Criterios!B10 &amp; "  " &amp; IF(NOT(ISBLANK(Criterios!A11)),Criterios!A11 &amp;"  "&amp;Criterios!B11,"")</f>
        <v>Provincias  BIZKAIA  Resumenes por Partidos Judiciales  BILBAO</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4 al 4</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13</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779</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f>IF(ISNUMBER(Datos!Q9),Datos!Q9," - ")</f>
        <v>845</v>
      </c>
      <c r="AA9" s="551" t="str">
        <f>IF(ISNUMBER(IF(J_V="SI",Datos!L9,Datos!L9+Datos!AB9)-IF(Monitorios="SI",Datos!CD9,0)),
                          IF(J_V="SI",Datos!L9,Datos!L9+Datos!AB9)-IF(Monitorios="SI",Datos!CD9,0),
                          " - ")</f>
        <v xml:space="preserve"> - </v>
      </c>
      <c r="AB9" s="549"/>
      <c r="AC9" s="549"/>
      <c r="AD9" s="563"/>
      <c r="AE9" s="563">
        <f>IF(ISNUMBER(Datos!R9),Datos!R9," - ")</f>
        <v>8592</v>
      </c>
      <c r="AF9" s="693" t="str">
        <f>IF(ISNUMBER(Datos!BV9),Datos!BV9," - ")</f>
        <v xml:space="preserve"> - </v>
      </c>
      <c r="AG9" s="552" t="str">
        <f>IF(ISNUMBER(Datos!DV9),Datos!DV9," - ")</f>
        <v xml:space="preserve"> - </v>
      </c>
      <c r="AH9" s="553"/>
      <c r="AI9" s="554"/>
      <c r="AJ9" s="552">
        <f>IF(ISNUMBER(Datos!M9),Datos!M9," - ")</f>
        <v>2044</v>
      </c>
      <c r="AK9" s="693">
        <f>IF(ISNUMBER(Datos!N9),Datos!N9," - ")</f>
        <v>2092</v>
      </c>
      <c r="AL9" s="693" t="str">
        <f>IF(ISNUMBER(Datos!BW9),Datos!BW9," - ")</f>
        <v xml:space="preserve"> - </v>
      </c>
      <c r="AM9" s="762" t="str">
        <f>IF(ISNUMBER(Datos!BX9),Datos!BX9," - ")</f>
        <v xml:space="preserve"> - </v>
      </c>
      <c r="AN9" s="763"/>
      <c r="AO9" s="764">
        <f>IF(ISNUMBER(((NºAsuntos!I9/NºAsuntos!G9)*11)/factor_trimestre),((NºAsuntos!I9/NºAsuntos!G9)*11)/factor_trimestre," - ")</f>
        <v>7.6468223287459418</v>
      </c>
      <c r="AP9" s="555" t="str">
        <f>IF(ISNUMBER(Datos!CI9/Datos!CJ9),Datos!CI9/Datos!CJ9," - ")</f>
        <v xml:space="preserve"> - </v>
      </c>
      <c r="AQ9" s="555" t="str">
        <f>IF(ISNUMBER((J9-Y9+K9)/(F9)),(J9-Y9+K9)/(F9)," - ")</f>
        <v xml:space="preserve"> - </v>
      </c>
      <c r="AR9" s="555">
        <f>IF(ISNUMBER((Datos!P9-Datos!Q9+Datos!DE9)/(Datos!R9-Datos!P9+Datos!Q9-Datos!DE9)),(Datos!P9-Datos!Q9+Datos!DE9)/(Datos!R9-Datos!P9+Datos!Q9-Datos!DE9)," - ")</f>
        <v>-7.6230076230076231E-3</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2</v>
      </c>
      <c r="B10" s="746" t="s">
        <v>321</v>
      </c>
      <c r="C10" s="747" t="str">
        <f>Datos!A10</f>
        <v>Jdos. Violencia contra la mujer</v>
      </c>
      <c r="D10" s="601"/>
      <c r="E10" s="1558">
        <f>IF(ISNUMBER(Datos!AQ10),Datos!AQ10," - ")</f>
        <v>2</v>
      </c>
      <c r="F10" s="552">
        <f>IF(ISNUMBER(Datos!L10+Datos!K10-Datos!J10),Datos!L10+Datos!K10-Datos!J10," - ")</f>
        <v>264</v>
      </c>
      <c r="G10" s="552">
        <f>IF(ISNUMBER(Datos!I10),Datos!I10," - ")</f>
        <v>264</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18</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95</v>
      </c>
      <c r="Z10" s="805">
        <f>IF(ISNUMBER(Datos!Q10),Datos!Q10," - ")</f>
        <v>23</v>
      </c>
      <c r="AA10" s="551">
        <f>IF(ISNUMBER(Datos!L10),Datos!L10,"-")</f>
        <v>305</v>
      </c>
      <c r="AB10" s="549"/>
      <c r="AC10" s="549"/>
      <c r="AD10" s="563"/>
      <c r="AE10" s="563">
        <f>IF(ISNUMBER(Datos!R10),Datos!R10," - ")</f>
        <v>203</v>
      </c>
      <c r="AF10" s="693" t="str">
        <f>IF(ISNUMBER(Datos!BV10),Datos!BV10," - ")</f>
        <v xml:space="preserve"> - </v>
      </c>
      <c r="AG10" s="552" t="str">
        <f>IF(ISNUMBER(Datos!DV10),Datos!DV10," - ")</f>
        <v xml:space="preserve"> - </v>
      </c>
      <c r="AH10" s="553"/>
      <c r="AI10" s="554"/>
      <c r="AJ10" s="552">
        <f>IF(ISNUMBER(Datos!M10),Datos!M10," - ")</f>
        <v>36</v>
      </c>
      <c r="AK10" s="693">
        <f>IF(ISNUMBER(Datos!N10),Datos!N10," - ")</f>
        <v>24</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9.6315789473684212</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-2.403846153846154E-2</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3</v>
      </c>
      <c r="B11" s="746" t="s">
        <v>321</v>
      </c>
      <c r="C11" s="747" t="str">
        <f>Datos!A11</f>
        <v xml:space="preserve">Jdos. Familia                                   </v>
      </c>
      <c r="D11" s="601"/>
      <c r="E11" s="1558">
        <f>IF(ISNUMBER(Datos!AQ11),Datos!AQ11," - ")</f>
        <v>3</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64</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f>IF(ISNUMBER(Datos!Q11),Datos!Q11," - ")</f>
        <v>82</v>
      </c>
      <c r="AA11" s="551" t="str">
        <f>IF(ISNUMBER(IF(J_V="SI",Datos!L11,Datos!L11+Datos!AB11)-IF(Monitorios="SI",Datos!CD11,0)),
                          IF(J_V="SI",Datos!L11,Datos!L11+Datos!AB11)-IF(Monitorios="SI",Datos!CD11,0),
                          " - ")</f>
        <v xml:space="preserve"> - </v>
      </c>
      <c r="AB11" s="549"/>
      <c r="AC11" s="549"/>
      <c r="AD11" s="563"/>
      <c r="AE11" s="563">
        <f>IF(ISNUMBER(Datos!R11),Datos!R11," - ")</f>
        <v>884</v>
      </c>
      <c r="AF11" s="693" t="str">
        <f>IF(ISNUMBER(Datos!BV11),Datos!BV11," - ")</f>
        <v xml:space="preserve"> - </v>
      </c>
      <c r="AG11" s="552" t="str">
        <f>IF(ISNUMBER(Datos!DV11),Datos!DV11," - ")</f>
        <v xml:space="preserve"> - </v>
      </c>
      <c r="AH11" s="553"/>
      <c r="AI11" s="554"/>
      <c r="AJ11" s="552">
        <f>IF(ISNUMBER(Datos!M11),Datos!M11," - ")</f>
        <v>223</v>
      </c>
      <c r="AK11" s="693">
        <f>IF(ISNUMBER(Datos!N11),Datos!N11," - ")</f>
        <v>201</v>
      </c>
      <c r="AL11" s="693" t="str">
        <f>IF(ISNUMBER(Datos!BW11),Datos!BW11," - ")</f>
        <v xml:space="preserve"> - </v>
      </c>
      <c r="AM11" s="762" t="str">
        <f>IF(ISNUMBER(Datos!BX11),Datos!BX11," - ")</f>
        <v xml:space="preserve"> - </v>
      </c>
      <c r="AN11" s="763"/>
      <c r="AO11" s="764">
        <f>IF(ISNUMBER(((NºAsuntos!I11/NºAsuntos!G11)*11)/factor_trimestre),((NºAsuntos!I11/NºAsuntos!G11)*11)/factor_trimestre," - ")</f>
        <v>5.666666666666667</v>
      </c>
      <c r="AP11" s="555" t="str">
        <f>IF(ISNUMBER(Datos!CI11/Datos!CJ11),Datos!CI11/Datos!CJ11," - ")</f>
        <v xml:space="preserve"> - </v>
      </c>
      <c r="AQ11" s="555" t="str">
        <f>IF(ISNUMBER((J11-Y11+K11)/(F11)),(J11-Y11+K11)/(F11)," - ")</f>
        <v xml:space="preserve"> - </v>
      </c>
      <c r="AR11" s="555">
        <f>IF(ISNUMBER((Datos!P11-Datos!Q11+Datos!DE11)/(Datos!R11-Datos!P11+Datos!Q11-Datos!DE11)),(Datos!P11-Datos!Q11+Datos!DE11)/(Datos!R11-Datos!P11+Datos!Q11-Datos!DE11)," - ")</f>
        <v>-1.9955654101995565E-2</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0</v>
      </c>
      <c r="B12" s="746" t="s">
        <v>321</v>
      </c>
      <c r="C12" s="747" t="str">
        <f>Datos!A12</f>
        <v xml:space="preserve">Jdos. 1ª Instª. e Instr.                        </v>
      </c>
      <c r="D12" s="601"/>
      <c r="E12" s="1558">
        <f>IF(ISNUMBER(Datos!AQ12),Datos!AQ12," - ")</f>
        <v>0</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0</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t="str">
        <f>IF(ISNUMBER(Datos!Q12),Datos!Q12," - ")</f>
        <v xml:space="preserve"> - </v>
      </c>
      <c r="AA12" s="551" t="str">
        <f>IF(ISNUMBER(IF(J_V="SI",Datos!L12,Datos!L12+Datos!AB12)-IF(Monitorios="SI",Datos!CD12,0)),
                          IF(J_V="SI",Datos!L12,Datos!L12+Datos!AB12)-IF(Monitorios="SI",Datos!CD12,0),
                          " - ")</f>
        <v xml:space="preserve"> - </v>
      </c>
      <c r="AB12" s="549"/>
      <c r="AC12" s="549"/>
      <c r="AD12" s="563"/>
      <c r="AE12" s="563" t="str">
        <f>IF(ISNUMBER(Datos!R12),Datos!R12," - ")</f>
        <v xml:space="preserve"> - </v>
      </c>
      <c r="AF12" s="693" t="str">
        <f>IF(ISNUMBER(Datos!BV12),Datos!BV12," - ")</f>
        <v xml:space="preserve"> - </v>
      </c>
      <c r="AG12" s="552" t="str">
        <f>IF(ISNUMBER(Datos!DV12),Datos!DV12," - ")</f>
        <v xml:space="preserve"> - </v>
      </c>
      <c r="AH12" s="553"/>
      <c r="AI12" s="554"/>
      <c r="AJ12" s="552" t="str">
        <f>IF(ISNUMBER(Datos!M12),Datos!M12," - ")</f>
        <v xml:space="preserve"> - </v>
      </c>
      <c r="AK12" s="693" t="str">
        <f>IF(ISNUMBER(Datos!N12),Datos!N12," - ")</f>
        <v xml:space="preserve"> - </v>
      </c>
      <c r="AL12" s="693" t="str">
        <f>IF(ISNUMBER(Datos!BW12),Datos!BW12," - ")</f>
        <v xml:space="preserve"> - </v>
      </c>
      <c r="AM12" s="762" t="str">
        <f>IF(ISNUMBER(Datos!BX12),Datos!BX12," - ")</f>
        <v xml:space="preserve"> - </v>
      </c>
      <c r="AN12" s="763"/>
      <c r="AO12" s="764" t="str">
        <f>IF(ISNUMBER(((NºAsuntos!I12/NºAsuntos!G12)*11)/factor_trimestre),((NºAsuntos!I12/NºAsuntos!G12)*11)/factor_trimestre," - ")</f>
        <v xml:space="preserve"> - </v>
      </c>
      <c r="AP12" s="555" t="str">
        <f>IF(ISNUMBER(Datos!CI12/Datos!CJ12),Datos!CI12/Datos!CJ12," - ")</f>
        <v xml:space="preserve"> - </v>
      </c>
      <c r="AQ12" s="555" t="str">
        <f>IF(ISNUMBER((J12-Y12+K12)/(F12)),(J12-Y12+K12)/(F12)," - ")</f>
        <v xml:space="preserve"> - </v>
      </c>
      <c r="AR12" s="555" t="str">
        <f>IF(ISNUMBER((Datos!P12-Datos!Q12+Datos!DE12)/(Datos!R12-Datos!P12+Datos!Q12-Datos!DE12)),(Datos!P12-Datos!Q12+Datos!DE12)/(Datos!R12-Datos!P12+Datos!Q12-Datos!DE12)," - ")</f>
        <v xml:space="preserve"> - </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18</v>
      </c>
      <c r="F14" s="1197">
        <f>SUBTOTAL(9,F8:F13)</f>
        <v>264</v>
      </c>
      <c r="G14" s="1197">
        <f>SUBTOTAL(9,G8:G13)</f>
        <v>264</v>
      </c>
      <c r="H14" s="1211"/>
      <c r="I14" s="1197">
        <f t="shared" ref="I14:N14" si="1">SUBTOTAL(9,I8:I13)</f>
        <v>0</v>
      </c>
      <c r="J14" s="1164">
        <f t="shared" si="1"/>
        <v>0</v>
      </c>
      <c r="K14" s="1211">
        <f t="shared" si="1"/>
        <v>0</v>
      </c>
      <c r="L14" s="1211">
        <f t="shared" si="1"/>
        <v>0</v>
      </c>
      <c r="M14" s="1211">
        <f t="shared" si="1"/>
        <v>0</v>
      </c>
      <c r="N14" s="1211">
        <f t="shared" si="1"/>
        <v>861</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95</v>
      </c>
      <c r="Z14" s="1210">
        <f t="shared" si="3"/>
        <v>950</v>
      </c>
      <c r="AA14" s="1199">
        <f t="shared" si="3"/>
        <v>305</v>
      </c>
      <c r="AB14" s="1199">
        <f t="shared" si="3"/>
        <v>0</v>
      </c>
      <c r="AC14" s="1199">
        <f t="shared" si="3"/>
        <v>0</v>
      </c>
      <c r="AD14" s="1199">
        <f t="shared" si="3"/>
        <v>0</v>
      </c>
      <c r="AE14" s="1199">
        <f t="shared" si="3"/>
        <v>9679</v>
      </c>
      <c r="AF14" s="1211">
        <f t="shared" si="3"/>
        <v>0</v>
      </c>
      <c r="AG14" s="1211">
        <f t="shared" si="3"/>
        <v>0</v>
      </c>
      <c r="AH14" s="1211">
        <f t="shared" si="3"/>
        <v>0</v>
      </c>
      <c r="AI14" s="1211">
        <f t="shared" si="3"/>
        <v>0</v>
      </c>
      <c r="AJ14" s="1211">
        <f t="shared" si="3"/>
        <v>2303</v>
      </c>
      <c r="AK14" s="1211">
        <f t="shared" si="3"/>
        <v>2317</v>
      </c>
      <c r="AL14" s="1211">
        <f t="shared" si="3"/>
        <v>0</v>
      </c>
      <c r="AM14" s="1211">
        <f t="shared" si="3"/>
        <v>0</v>
      </c>
      <c r="AN14" s="1211">
        <f t="shared" si="3"/>
        <v>0</v>
      </c>
      <c r="AO14" s="1203">
        <f>IF(ISNUMBER(((NºAsuntos!I14/NºAsuntos!G14)*11)/factor_trimestre),((NºAsuntos!I14/NºAsuntos!G14)*11)/factor_trimestre," - ")</f>
        <v>7.5111235483419607</v>
      </c>
      <c r="AP14" s="1213" t="str">
        <f>IF(ISNUMBER(Datos!CI14/Datos!CJ14),Datos!CI14/Datos!CJ14," - ")</f>
        <v xml:space="preserve"> - </v>
      </c>
      <c r="AQ14" s="1236">
        <f t="shared" ref="AQ14:AV14" si="4">SUBTOTAL(9,AQ9:AQ13)</f>
        <v>0</v>
      </c>
      <c r="AR14" s="1236">
        <f t="shared" si="4"/>
        <v>-5.1617123263464723E-2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10</v>
      </c>
      <c r="B16" s="746" t="s">
        <v>511</v>
      </c>
      <c r="C16" s="765" t="str">
        <f>Datos!A16</f>
        <v xml:space="preserve">Jdos. Instrucción                               </v>
      </c>
      <c r="D16" s="593"/>
      <c r="E16" s="1558">
        <f>IF(ISNUMBER(Datos!AQ16),Datos!AQ16," - ")</f>
        <v>10</v>
      </c>
      <c r="F16" s="543">
        <f>IF(ISNUMBER(AA16+Y16-Datos!J16-K16),AA16+Y16-Datos!J16-K16," - ")</f>
        <v>4838</v>
      </c>
      <c r="G16" s="552">
        <f>IF(ISNUMBER(IF(D_I="SI",Datos!I16,Datos!I16+Datos!AC16)),IF(D_I="SI",Datos!I16,Datos!I16+Datos!AC16)," - ")</f>
        <v>4504</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429</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f>IF(ISNUMBER(IF(D_I="SI",Datos!K16,Datos!K16+Datos!AE16)),IF(D_I="SI",Datos!K16,Datos!K16+Datos!AE16)," - ")</f>
        <v>5389</v>
      </c>
      <c r="Z16" s="805">
        <f>IF(ISNUMBER(Datos!Q16),Datos!Q16," - ")</f>
        <v>415</v>
      </c>
      <c r="AA16" s="551">
        <f>IF(ISNUMBER(IF(D_I="SI",Datos!L16,Datos!L16+Datos!AF16)),IF(D_I="SI",Datos!L16,Datos!L16+Datos!AF16)," - ")</f>
        <v>4531</v>
      </c>
      <c r="AB16" s="549"/>
      <c r="AC16" s="549"/>
      <c r="AD16" s="563"/>
      <c r="AE16" s="563">
        <f>IF(ISNUMBER(Datos!R16),Datos!R16," - ")</f>
        <v>856</v>
      </c>
      <c r="AF16" s="693" t="str">
        <f>IF(ISNUMBER(Datos!BV16),Datos!BV16," - ")</f>
        <v xml:space="preserve"> - </v>
      </c>
      <c r="AG16" s="552"/>
      <c r="AH16" s="553"/>
      <c r="AI16" s="554"/>
      <c r="AJ16" s="552">
        <f>IF(ISNUMBER(Datos!M16),Datos!M16," - ")</f>
        <v>1159</v>
      </c>
      <c r="AK16" s="693">
        <f>IF(ISNUMBER(Datos!N16),Datos!N16," - ")</f>
        <v>2563</v>
      </c>
      <c r="AL16" s="693" t="str">
        <f>IF(ISNUMBER(Datos!BW16),Datos!BW16," - ")</f>
        <v xml:space="preserve"> - </v>
      </c>
      <c r="AM16" s="762" t="str">
        <f>IF(ISNUMBER(Datos!BX16),Datos!BX16," - ")</f>
        <v xml:space="preserve"> - </v>
      </c>
      <c r="AN16" s="763"/>
      <c r="AO16" s="764">
        <f>IF(ISNUMBER(((NºAsuntos!I16/NºAsuntos!G16)*11)/factor_trimestre),((NºAsuntos!I16/NºAsuntos!G16)*11)/factor_trimestre," - ")</f>
        <v>2.5223603637038412</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0</v>
      </c>
      <c r="B17" s="746" t="s">
        <v>511</v>
      </c>
      <c r="C17" s="765" t="str">
        <f>Datos!A17</f>
        <v xml:space="preserve">Jdos. 1ª Instª. e Instr.                        </v>
      </c>
      <c r="D17" s="593"/>
      <c r="E17" s="1558">
        <f>IF(ISNUMBER(Datos!AQ17),Datos!AQ17," - ")</f>
        <v>0</v>
      </c>
      <c r="F17" s="543" t="str">
        <f>IF(ISNUMBER(AA17+Y17-Datos!J17-K16),AA17+Y17-Datos!J17-K16," - ")</f>
        <v xml:space="preserve"> - </v>
      </c>
      <c r="G17" s="552" t="str">
        <f>IF(ISNUMBER(IF(D_I="SI",Datos!I17,Datos!I17+Datos!AC17)),IF(D_I="SI",Datos!I17,Datos!I17+Datos!AC17)," - ")</f>
        <v xml:space="preserve"> - </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t="str">
        <f>IF(ISNUMBER(IF(D_I="SI",Datos!K17,Datos!K17+Datos!AE17)),IF(D_I="SI",Datos!K17,Datos!K17+Datos!AE17)," - ")</f>
        <v xml:space="preserve"> - </v>
      </c>
      <c r="Z17" s="805" t="str">
        <f>IF(ISNUMBER(Datos!Q17),Datos!Q17," - ")</f>
        <v xml:space="preserve"> - </v>
      </c>
      <c r="AA17" s="551" t="str">
        <f>IF(ISNUMBER(IF(D_I="SI",Datos!L17,Datos!L17+Datos!AF17)),IF(D_I="SI",Datos!L17,Datos!L17+Datos!AF17)," - ")</f>
        <v xml:space="preserve"> - </v>
      </c>
      <c r="AB17" s="549"/>
      <c r="AC17" s="549"/>
      <c r="AD17" s="563"/>
      <c r="AE17" s="563" t="str">
        <f>IF(ISNUMBER(Datos!R17),Datos!R17," - ")</f>
        <v xml:space="preserve"> - </v>
      </c>
      <c r="AF17" s="693" t="str">
        <f>IF(ISNUMBER(Datos!BV17),Datos!BV17," - ")</f>
        <v xml:space="preserve"> - </v>
      </c>
      <c r="AG17" s="552"/>
      <c r="AH17" s="553"/>
      <c r="AI17" s="554"/>
      <c r="AJ17" s="552" t="str">
        <f>IF(ISNUMBER(Datos!M17),Datos!M17," - ")</f>
        <v xml:space="preserve"> - </v>
      </c>
      <c r="AK17" s="693" t="str">
        <f>IF(ISNUMBER(Datos!N17),Datos!N17," - ")</f>
        <v xml:space="preserve"> - </v>
      </c>
      <c r="AL17" s="693" t="str">
        <f>IF(ISNUMBER(Datos!BW17),Datos!BW17," - ")</f>
        <v xml:space="preserve"> - </v>
      </c>
      <c r="AM17" s="762" t="str">
        <f>IF(ISNUMBER(Datos!BX17),Datos!BX17," - ")</f>
        <v xml:space="preserve"> - </v>
      </c>
      <c r="AN17" s="763"/>
      <c r="AO17" s="764" t="str">
        <f>IF(ISNUMBER(((NºAsuntos!I17/NºAsuntos!G17)*11)/factor_trimestre),((NºAsuntos!I17/NºAsuntos!G17)*11)/factor_trimestre," - ")</f>
        <v xml:space="preserve"> - </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2</v>
      </c>
      <c r="B18" s="746" t="s">
        <v>511</v>
      </c>
      <c r="C18" s="747" t="str">
        <f>Datos!A18</f>
        <v>Jdos. Violencia contra la mujer</v>
      </c>
      <c r="D18" s="601"/>
      <c r="E18" s="1558">
        <f>IF(ISNUMBER(Datos!AQ18),Datos!AQ18," - ")</f>
        <v>2</v>
      </c>
      <c r="F18" s="552" t="str">
        <f>IF(ISNUMBER(AA18+Y18-I18-K18),AA18+Y18-I18-K18," - ")</f>
        <v xml:space="preserve"> - </v>
      </c>
      <c r="G18" s="843">
        <f>IF(ISNUMBER(IF(D_I="SI",Datos!I18,Datos!I18+Datos!AC18)),IF(D_I="SI",Datos!I18,Datos!I18+Datos!AC18)," - ")</f>
        <v>598</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16</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701</v>
      </c>
      <c r="Z18" s="805">
        <f>IF(ISNUMBER(Datos!Q18),Datos!Q18," - ")</f>
        <v>19</v>
      </c>
      <c r="AA18" s="551">
        <f>IF(ISNUMBER(Datos!L18),Datos!L18,"-")</f>
        <v>532</v>
      </c>
      <c r="AB18" s="549"/>
      <c r="AC18" s="549"/>
      <c r="AD18" s="563"/>
      <c r="AE18" s="563">
        <f>IF(ISNUMBER(Datos!R18),Datos!R18," - ")</f>
        <v>20</v>
      </c>
      <c r="AF18" s="693" t="str">
        <f>IF(ISNUMBER(Datos!BV18),Datos!BV18," - ")</f>
        <v xml:space="preserve"> - </v>
      </c>
      <c r="AG18" s="552" t="str">
        <f>IF(ISNUMBER(Datos!DV18),Datos!DV18," - ")</f>
        <v xml:space="preserve"> - </v>
      </c>
      <c r="AH18" s="553"/>
      <c r="AI18" s="554"/>
      <c r="AJ18" s="552">
        <f>IF(ISNUMBER(Datos!M18),Datos!M18," - ")</f>
        <v>100</v>
      </c>
      <c r="AK18" s="693">
        <f>IF(ISNUMBER(Datos!N18),Datos!N18," - ")</f>
        <v>313</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2.2767475035663343</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12</v>
      </c>
      <c r="F23" s="1197">
        <f>SUBTOTAL(9,F16:F22)</f>
        <v>4838</v>
      </c>
      <c r="G23" s="1197">
        <f>SUBTOTAL(9,G16:G22)</f>
        <v>5102</v>
      </c>
      <c r="H23" s="1240">
        <f>SUBTOTAL(9,H16:H22)</f>
        <v>0</v>
      </c>
      <c r="I23" s="1217">
        <f>SUBTOTAL(9,I16:I22)</f>
        <v>0</v>
      </c>
      <c r="J23" s="1164">
        <f>SUBTOTAL(9,J15:J22)</f>
        <v>0</v>
      </c>
      <c r="K23" s="1240">
        <f t="shared" ref="K23:S23" si="5">SUBTOTAL(9,K16:K22)</f>
        <v>0</v>
      </c>
      <c r="L23" s="1240">
        <f t="shared" si="5"/>
        <v>0</v>
      </c>
      <c r="M23" s="1240">
        <f t="shared" si="5"/>
        <v>0</v>
      </c>
      <c r="N23" s="1240">
        <f t="shared" si="5"/>
        <v>445</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6090</v>
      </c>
      <c r="Z23" s="1240">
        <f t="shared" si="6"/>
        <v>434</v>
      </c>
      <c r="AA23" s="1240">
        <f t="shared" si="6"/>
        <v>5063</v>
      </c>
      <c r="AB23" s="1240">
        <f t="shared" si="6"/>
        <v>0</v>
      </c>
      <c r="AC23" s="1240">
        <f t="shared" si="6"/>
        <v>0</v>
      </c>
      <c r="AD23" s="1240">
        <f t="shared" si="6"/>
        <v>0</v>
      </c>
      <c r="AE23" s="1240">
        <f t="shared" si="6"/>
        <v>876</v>
      </c>
      <c r="AF23" s="1240">
        <f t="shared" si="6"/>
        <v>0</v>
      </c>
      <c r="AG23" s="1240">
        <f t="shared" si="6"/>
        <v>0</v>
      </c>
      <c r="AH23" s="1240">
        <f t="shared" si="6"/>
        <v>0</v>
      </c>
      <c r="AI23" s="1240">
        <f t="shared" si="6"/>
        <v>0</v>
      </c>
      <c r="AJ23" s="1240">
        <f t="shared" si="6"/>
        <v>1259</v>
      </c>
      <c r="AK23" s="1240">
        <f t="shared" si="6"/>
        <v>2876</v>
      </c>
      <c r="AL23" s="1240">
        <f t="shared" si="6"/>
        <v>0</v>
      </c>
      <c r="AM23" s="1240">
        <f t="shared" si="6"/>
        <v>0</v>
      </c>
      <c r="AN23" s="1240">
        <f t="shared" si="6"/>
        <v>0</v>
      </c>
      <c r="AO23" s="1242">
        <f>IF(ISNUMBER(((NºAsuntos!I23/NºAsuntos!G23)*11)/factor_trimestre),((NºAsuntos!I23/NºAsuntos!G23)*11)/factor_trimestre," - ")</f>
        <v>2.494088669950739</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30</v>
      </c>
      <c r="F31" s="1117">
        <f t="shared" si="12"/>
        <v>5102</v>
      </c>
      <c r="G31" s="1117">
        <f t="shared" si="12"/>
        <v>5366</v>
      </c>
      <c r="H31" s="1118">
        <f t="shared" si="12"/>
        <v>0</v>
      </c>
      <c r="I31" s="1117">
        <f t="shared" si="12"/>
        <v>0</v>
      </c>
      <c r="J31" s="1119">
        <f t="shared" si="12"/>
        <v>0</v>
      </c>
      <c r="K31" s="1117">
        <f t="shared" si="12"/>
        <v>0</v>
      </c>
      <c r="L31" s="1120">
        <f t="shared" si="12"/>
        <v>0</v>
      </c>
      <c r="M31" s="1117">
        <f t="shared" si="12"/>
        <v>0</v>
      </c>
      <c r="N31" s="1118">
        <f t="shared" si="12"/>
        <v>1306</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6185</v>
      </c>
      <c r="Z31" s="1124">
        <f t="shared" si="13"/>
        <v>1384</v>
      </c>
      <c r="AA31" s="1125">
        <f t="shared" si="13"/>
        <v>5368</v>
      </c>
      <c r="AB31" s="1125">
        <f t="shared" si="13"/>
        <v>0</v>
      </c>
      <c r="AC31" s="1125">
        <f t="shared" si="13"/>
        <v>0</v>
      </c>
      <c r="AD31" s="1126">
        <f t="shared" si="13"/>
        <v>0</v>
      </c>
      <c r="AE31" s="1126">
        <f t="shared" si="13"/>
        <v>10555</v>
      </c>
      <c r="AF31" s="1127">
        <f t="shared" si="13"/>
        <v>0</v>
      </c>
      <c r="AG31" s="1128">
        <f t="shared" si="13"/>
        <v>0</v>
      </c>
      <c r="AH31" s="1129">
        <f t="shared" si="13"/>
        <v>0</v>
      </c>
      <c r="AI31" s="1127">
        <f t="shared" si="13"/>
        <v>0</v>
      </c>
      <c r="AJ31" s="1117">
        <f t="shared" si="13"/>
        <v>3562</v>
      </c>
      <c r="AK31" s="1117">
        <f t="shared" si="13"/>
        <v>5193</v>
      </c>
      <c r="AL31" s="1117">
        <f t="shared" si="13"/>
        <v>0</v>
      </c>
      <c r="AM31" s="1130">
        <f t="shared" si="13"/>
        <v>0</v>
      </c>
      <c r="AN31" s="1120">
        <f>IF(ISNUMBER(Datos!K31/Datos!J31),Datos!K31/Datos!J31," - ")</f>
        <v>0.93932943054816387</v>
      </c>
      <c r="AO31" s="1120">
        <f>IF(ISNUMBER(FIND("06",Criterios!A8,1)),(IF(ISNUMBER(((Datos!R31/Datos!Q31)*11)/factor_trimestre),((Datos!R31/Datos!Q31)*11)/factor_trimestre," - ")),(IF(ISNUMBER(((Datos!L31/Datos!K31)*11)/factor_trimestre),((Datos!L31/Datos!K31)*11)/factor_trimestre," - ")))</f>
        <v>5.4590044516390126</v>
      </c>
      <c r="AP31" s="1131" t="str">
        <f>IF(ISNUMBER(Datos!CI31/Datos!CJ31),Datos!CI31/Datos!CJ31," - ")</f>
        <v xml:space="preserve"> - </v>
      </c>
      <c r="AQ31" s="1131">
        <f>IF(OR(ISNUMBER(FIND("01",Criterios!A8,1)),ISNUMBER(FIND("02",Criterios!A8,1)),ISNUMBER(FIND("03",Criterios!A8,1)),ISNUMBER(FIND("04",Criterios!A8,1))),(J31-Y31+K31)/(F31-K31),(I31-Y31+K31)/(F31-K31))</f>
        <v>-1.2122696981575853</v>
      </c>
      <c r="AR31" s="1131">
        <f>IF(ISNUMBER((Datos!P31-Datos!Q31+O31)/(Datos!R31-Datos!P31+Datos!Q31-O31)),(Datos!P31-Datos!Q31+O31)/(Datos!R31-Datos!P31+Datos!Q31-O31)," - ")</f>
        <v>-7.3356531552713254E-3</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1533.1428571428571</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2433.0342099252666</v>
      </c>
      <c r="G33" s="674">
        <f>IF(ISNUMBER(STDEV(G8:G30)),STDEV(G8:G30),"-")</f>
        <v>2249.4342569167202</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924.1273060448857</v>
      </c>
      <c r="AK33" s="276"/>
      <c r="AL33" s="276">
        <f>IF(ISNUMBER(STDEV(AL8:AL30)),STDEV(AL8:AL30),"-")</f>
        <v>0</v>
      </c>
      <c r="AM33" s="278">
        <f>IF(ISNUMBER(STDEV(AM8:AM30)),STDEV(AM8:AM30),"-")</f>
        <v>0</v>
      </c>
      <c r="AN33" s="660">
        <f>IF(ISNUMBER(STDEV(AN8:AN30)),STDEV(AN8:AN30),"-")</f>
        <v>0</v>
      </c>
      <c r="AO33" s="661">
        <f>IF(ISNUMBER(STDEV(AO8:AO30)),STDEV(AO8:AO30),"-")</f>
        <v>2.9989413538891183</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dUq1i27+0TcN5R+wLWBhx70r0g5zDmXTjDh9LtuoeYEe5JH3ctDsbVWL3ZEk6YvjMrYwGZLGpYPVZi+GFHSBRg==" saltValue="qDINZ8o5iaQXnvZ6lyvfZ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4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ZWkcI6uWZsdfCNMf5qwdl6h2blg+gdX0lcrn0/WXUYsNi3rzDDepO5zBHinP8JRH8pfp/u6l3zJAZpFbZDfgKQ==" saltValue="Kcgg2oaJHW/Iw2nISn/I4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PAIS VASCO</v>
      </c>
    </row>
    <row r="4" spans="1:155" ht="13.5" thickBot="1">
      <c r="A4" t="str">
        <f>Criterios!A10</f>
        <v>Provincias</v>
      </c>
      <c r="B4" t="str">
        <f>Criterios!B10</f>
        <v>BIZKAIA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oVUnKpVnNN6jbatloWwAivkWCJu2X/bmOHiOwJjar4gd4bmhy3vEOtMLV/W1/SJM4OinG44dm1k6VakKxZXLQ==" saltValue="3cHKR1fZN0WBHBmPSClsh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PAIS VASCO</v>
      </c>
      <c r="F1" s="856"/>
    </row>
    <row r="2" spans="1:75" ht="16.5" customHeight="1">
      <c r="C2" s="567" t="str">
        <f>Criterios!A10 &amp;"  "&amp;Criterios!B10 &amp; "  " &amp; IF(NOT(ISBLANK(Criterios!A11)),Criterios!A11 &amp;"  "&amp;Criterios!B11,"")</f>
        <v>Provincias  BIZKAIA  Resumenes por Partidos Judiciales  BILBAO</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0.32223310479921646</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0.2278532135263214</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fTBJ/M+9OX3ZYXktcppS+VcGcUQnIvDOB6WCD+jgbUhPvPRWYoLHzeW5HDQT6Nlji0yjCpFNgPnZrZyhJT2kGw==" saltValue="SOGxJldtXd2YWptv0V25R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qUXMbV5RM9auaR7OHUB/Vh5p7+/6bBq24F1PA8+/ktBMdkAzzVTr9vL9T3K2uyXIyJlvm5gGwioRhYBuLcSuvA==" saltValue="qUTiPSQ9C1JRJxVCwSRbg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PAIS VASCO</v>
      </c>
      <c r="C2" s="436"/>
      <c r="D2" s="436"/>
      <c r="E2" s="436"/>
      <c r="F2" s="436"/>
    </row>
    <row r="3" spans="1:14" ht="19.5">
      <c r="A3" s="438" t="s">
        <v>159</v>
      </c>
      <c r="B3" s="439" t="str">
        <f>Criterios!A10 &amp;"  "&amp;Criterios!B10</f>
        <v>Provincias  BIZKAIA</v>
      </c>
      <c r="D3" s="436"/>
      <c r="E3" s="436"/>
      <c r="F3" s="436"/>
    </row>
    <row r="4" spans="1:14" ht="13.5" thickBot="1">
      <c r="A4" s="436"/>
      <c r="B4" s="439" t="str">
        <f>Criterios!A11 &amp;"  "&amp;Criterios!B11</f>
        <v>Resumenes por Partidos Judiciales  BILBAO</v>
      </c>
      <c r="C4" s="436"/>
      <c r="D4" s="436"/>
      <c r="E4" s="436"/>
      <c r="F4" s="436"/>
    </row>
    <row r="5" spans="1:14" ht="15.75" customHeight="1">
      <c r="A5" s="1579" t="str">
        <f>"Año:  " &amp;Criterios!B5 &amp; "     Trimestre   " &amp;Criterios!D5 &amp; " al " &amp;Criterios!D6</f>
        <v>Año:  2022     Trimestre   4 al 4</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13</v>
      </c>
      <c r="C9" s="451">
        <f>IF(ISNUMBER(IF(J_V="SI",Datos!I9,Datos!I9+Datos!Y9)),IF(J_V="SI",Datos!I9,Datos!I9+Datos!Y9)," - ")</f>
        <v>15326</v>
      </c>
      <c r="D9" s="452">
        <f>IF(ISNUMBER(C9/Datos!BH9),C9/Datos!BH9," - ")</f>
        <v>1178.9230769230769</v>
      </c>
      <c r="E9" s="451">
        <f>IF(ISNUMBER(IF(J_V="SI",Datos!J9,Datos!J9+Datos!Z9)),IF(J_V="SI",Datos!J9,Datos!J9+Datos!Z9)," - ")</f>
        <v>7625</v>
      </c>
      <c r="F9" s="452">
        <f>IF(ISNUMBER(E9/B9),E9/B9," - ")</f>
        <v>586.53846153846155</v>
      </c>
      <c r="G9" s="451">
        <f>IF(ISNUMBER(IF(J_V="SI",Datos!K9,Datos!K9+Datos!AA9)),IF(J_V="SI",Datos!K9,Datos!K9+Datos!AA9)," - ")</f>
        <v>6467</v>
      </c>
      <c r="H9" s="452">
        <f>IF(ISNUMBER(G9/B9),G9/B9," - ")</f>
        <v>497.46153846153845</v>
      </c>
      <c r="I9" s="451">
        <f>IF(ISNUMBER(IF(J_V="SI",Datos!L9,Datos!L9+Datos!AB9)),IF(J_V="SI",Datos!L9,Datos!L9+Datos!AB9)," - ")</f>
        <v>16484</v>
      </c>
      <c r="J9" s="452">
        <f>IF(ISNUMBER(I9/B9),I9/B9," - ")</f>
        <v>1268</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2</v>
      </c>
      <c r="C10" s="451">
        <f>IF(ISNUMBER(Datos!I10),Datos!I10," - ")</f>
        <v>264</v>
      </c>
      <c r="D10" s="452">
        <f>IF(ISNUMBER(C10/Datos!BH10),C10/Datos!BH10," - ")</f>
        <v>132</v>
      </c>
      <c r="E10" s="451">
        <f>IF(ISNUMBER(Datos!J10),Datos!J10," - ")</f>
        <v>136</v>
      </c>
      <c r="F10" s="452">
        <f>IF(ISNUMBER(E10/B10),E10/B10," - ")</f>
        <v>68</v>
      </c>
      <c r="G10" s="451">
        <f>IF(ISNUMBER(Datos!K10),Datos!K10," - ")</f>
        <v>95</v>
      </c>
      <c r="H10" s="452">
        <f>IF(ISNUMBER(G10/B10),G10/B10," - ")</f>
        <v>47.5</v>
      </c>
      <c r="I10" s="451">
        <f>IF(ISNUMBER(Datos!L10),Datos!L10," - ")</f>
        <v>305</v>
      </c>
      <c r="J10" s="452">
        <f>IF(ISNUMBER(I10/B10),I10/B10," - ")</f>
        <v>152.5</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3</v>
      </c>
      <c r="C11" s="451">
        <f>IF(ISNUMBER(IF(J_V="SI",Datos!I11,Datos!I11+Datos!Y11)),IF(J_V="SI",Datos!I11,Datos!I11+Datos!Y11)," - ")</f>
        <v>1099</v>
      </c>
      <c r="D11" s="452">
        <f>IF(ISNUMBER(C11/Datos!BH11),C11/Datos!BH11," - ")</f>
        <v>366.33333333333331</v>
      </c>
      <c r="E11" s="451">
        <f>IF(ISNUMBER(IF(J_V="SI",Datos!J11,Datos!J11+Datos!Z11)),IF(J_V="SI",Datos!J11,Datos!J11+Datos!Z11)," - ")</f>
        <v>571</v>
      </c>
      <c r="F11" s="452">
        <f>IF(ISNUMBER(E11/B11),E11/B11," - ")</f>
        <v>190.33333333333334</v>
      </c>
      <c r="G11" s="451">
        <f>IF(ISNUMBER(IF(J_V="SI",Datos!K11,Datos!K11+Datos!AA11)),IF(J_V="SI",Datos!K11,Datos!K11+Datos!AA11)," - ")</f>
        <v>585</v>
      </c>
      <c r="H11" s="452">
        <f>IF(ISNUMBER(G11/B11),G11/B11," - ")</f>
        <v>195</v>
      </c>
      <c r="I11" s="451">
        <f>IF(ISNUMBER(IF(J_V="SI",Datos!L11,Datos!L11+Datos!AB11)),IF(J_V="SI",Datos!L11,Datos!L11+Datos!AB11)," - ")</f>
        <v>1105</v>
      </c>
      <c r="J11" s="452">
        <f>IF(ISNUMBER(I11/B11),I11/B11," - ")</f>
        <v>368.33333333333331</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0</v>
      </c>
      <c r="C12" s="451" t="str">
        <f>IF(ISNUMBER(IF(J_V="SI",Datos!I12,Datos!I12+Datos!Y12)),IF(J_V="SI",Datos!I12,Datos!I12+Datos!Y12)," - ")</f>
        <v xml:space="preserve"> - </v>
      </c>
      <c r="D12" s="452" t="str">
        <f>IF(ISNUMBER(C12/Datos!BH12),C12/Datos!BH12," - ")</f>
        <v xml:space="preserve"> - </v>
      </c>
      <c r="E12" s="451" t="str">
        <f>IF(ISNUMBER(IF(J_V="SI",Datos!J12,Datos!J12+Datos!Z12)),IF(J_V="SI",Datos!J12,Datos!J12+Datos!Z12)," - ")</f>
        <v xml:space="preserve"> - </v>
      </c>
      <c r="F12" s="452" t="str">
        <f>IF(ISNUMBER(E12/B12),E12/B12," - ")</f>
        <v xml:space="preserve"> - </v>
      </c>
      <c r="G12" s="451" t="str">
        <f>IF(ISNUMBER(IF(J_V="SI",Datos!K12,Datos!K12+Datos!AA12)),IF(J_V="SI",Datos!K12,Datos!K12+Datos!AA12)," - ")</f>
        <v xml:space="preserve"> - </v>
      </c>
      <c r="H12" s="452" t="str">
        <f>IF(ISNUMBER(G12/B12),G12/B12," - ")</f>
        <v xml:space="preserve"> - </v>
      </c>
      <c r="I12" s="451" t="str">
        <f>IF(ISNUMBER(IF(J_V="SI",Datos!L12,Datos!L12+Datos!AB12)),IF(J_V="SI",Datos!L12,Datos!L12+Datos!AB12)," - ")</f>
        <v xml:space="preserve"> - </v>
      </c>
      <c r="J12" s="452" t="str">
        <f>IF(ISNUMBER(I12/B12),I12/B12," - ")</f>
        <v xml:space="preserve"> - </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18</v>
      </c>
      <c r="C14" s="1146">
        <f>SUBTOTAL(9,C8:C13)</f>
        <v>16689</v>
      </c>
      <c r="D14" s="1147" t="str">
        <f>IF(ISNUMBER(C14/Datos!BI14),C14/Datos!BI14," - ")</f>
        <v xml:space="preserve"> - </v>
      </c>
      <c r="E14" s="1146">
        <f>SUBTOTAL(9,E8:E13)</f>
        <v>8332</v>
      </c>
      <c r="F14" s="1147">
        <f>IF(ISNUMBER(E14/B14),E14/B14," - ")</f>
        <v>462.88888888888891</v>
      </c>
      <c r="G14" s="1146">
        <f>SUBTOTAL(9,G8:G13)</f>
        <v>7147</v>
      </c>
      <c r="H14" s="1147">
        <f>IF(ISNUMBER(G14/B14),G14/B14," - ")</f>
        <v>397.05555555555554</v>
      </c>
      <c r="I14" s="1146">
        <f>SUBTOTAL(9,I8:I13)</f>
        <v>17894</v>
      </c>
      <c r="J14" s="1147">
        <f>IF(ISNUMBER(I14/B14),I14/B14," - ")</f>
        <v>994.11111111111109</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10</v>
      </c>
      <c r="C16" s="451">
        <f>IF(ISNUMBER(IF(D_I="SI",Datos!I16,Datos!I16+Datos!AC16)),IF(D_I="SI",Datos!I16,Datos!I16+Datos!AC16)," - ")</f>
        <v>4504</v>
      </c>
      <c r="D16" s="452">
        <f>IF(ISNUMBER(C16/Datos!BH16),C16/Datos!BH16," - ")</f>
        <v>450.4</v>
      </c>
      <c r="E16" s="451">
        <f>IF(ISNUMBER(IF(D_I="SI",Datos!J16,Datos!J16+Datos!AD16)),IF(D_I="SI",Datos!J16,Datos!J16+Datos!AD16)," - ")</f>
        <v>5082</v>
      </c>
      <c r="F16" s="452">
        <f>IF(ISNUMBER(E16/B16),E16/B16," - ")</f>
        <v>508.2</v>
      </c>
      <c r="G16" s="451">
        <f>IF(ISNUMBER(IF(D_I="SI",Datos!K16,Datos!K16+Datos!AE16)),IF(D_I="SI",Datos!K16,Datos!K16+Datos!AE16)," - ")</f>
        <v>5389</v>
      </c>
      <c r="H16" s="452">
        <f>IF(ISNUMBER(G16/B16),G16/B16," - ")</f>
        <v>538.9</v>
      </c>
      <c r="I16" s="451">
        <f>IF(ISNUMBER(IF(D_I="SI",Datos!L16,Datos!L16+Datos!AF16)),IF(D_I="SI",Datos!L16,Datos!L16+Datos!AF16)," - ")</f>
        <v>4531</v>
      </c>
      <c r="J16" s="452">
        <f>IF(ISNUMBER(I16/B16),I16/B16," - ")</f>
        <v>453.1</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0</v>
      </c>
      <c r="C17" s="451" t="str">
        <f>IF(ISNUMBER(IF(D_I="SI",Datos!I17,Datos!I17+Datos!AC17)),IF(D_I="SI",Datos!I17,Datos!I17+Datos!AC17)," - ")</f>
        <v xml:space="preserve"> - </v>
      </c>
      <c r="D17" s="452" t="str">
        <f>IF(ISNUMBER(C17/Datos!BH17),C17/Datos!BH17," - ")</f>
        <v xml:space="preserve"> - </v>
      </c>
      <c r="E17" s="451" t="str">
        <f>IF(ISNUMBER(IF(D_I="SI",Datos!J17,Datos!J17+Datos!AD17)),IF(D_I="SI",Datos!J17,Datos!J17+Datos!AD17)," - ")</f>
        <v xml:space="preserve"> - </v>
      </c>
      <c r="F17" s="452" t="str">
        <f>IF(ISNUMBER(E17/B17),E17/B17," - ")</f>
        <v xml:space="preserve"> - </v>
      </c>
      <c r="G17" s="451" t="str">
        <f>IF(ISNUMBER(IF(D_I="SI",Datos!K17,Datos!K17+Datos!AE17)),IF(D_I="SI",Datos!K17,Datos!K17+Datos!AE17)," - ")</f>
        <v xml:space="preserve"> - </v>
      </c>
      <c r="H17" s="452" t="str">
        <f>IF(ISNUMBER(G17/B17),G17/B17," - ")</f>
        <v xml:space="preserve"> - </v>
      </c>
      <c r="I17" s="451" t="str">
        <f>IF(ISNUMBER(IF(D_I="SI",Datos!L17,Datos!L17+Datos!AF17)),IF(D_I="SI",Datos!L17,Datos!L17+Datos!AF17)," - ")</f>
        <v xml:space="preserve"> - </v>
      </c>
      <c r="J17" s="452" t="str">
        <f>IF(ISNUMBER(I17/B17),I17/B17," - ")</f>
        <v xml:space="preserve"> - </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2</v>
      </c>
      <c r="C18" s="451">
        <f>IF(ISNUMBER(IF(D_I="SI",Datos!I18,Datos!I18+Datos!AC18)),IF(D_I="SI",Datos!I18,Datos!I18+Datos!AC18)," - ")</f>
        <v>598</v>
      </c>
      <c r="D18" s="452">
        <f>IF(ISNUMBER(C18/Datos!BH18),C18/Datos!BH18," - ")</f>
        <v>299</v>
      </c>
      <c r="E18" s="451">
        <f>IF(ISNUMBER(IF(D_I="SI",Datos!J18,Datos!J18+Datos!AD18)),IF(D_I="SI",Datos!J18,Datos!J18+Datos!AD18)," - ")</f>
        <v>626</v>
      </c>
      <c r="F18" s="452">
        <f>IF(ISNUMBER(E18/B18),E18/B18," - ")</f>
        <v>313</v>
      </c>
      <c r="G18" s="451">
        <f>IF(ISNUMBER(IF(D_I="SI",Datos!K18,Datos!K18+Datos!AE18)),IF(D_I="SI",Datos!K18,Datos!K18+Datos!AE18)," - ")</f>
        <v>701</v>
      </c>
      <c r="H18" s="452">
        <f>IF(ISNUMBER(G18/B18),G18/B18," - ")</f>
        <v>350.5</v>
      </c>
      <c r="I18" s="451">
        <f>IF(ISNUMBER(IF(D_I="SI",Datos!L18,Datos!L18+Datos!AF18)),IF(D_I="SI",Datos!L18,Datos!L18+Datos!AF18)," - ")</f>
        <v>532</v>
      </c>
      <c r="J18" s="452">
        <f>IF(ISNUMBER(I18/B18),I18/B18," - ")</f>
        <v>266</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12</v>
      </c>
      <c r="C23" s="1146">
        <f>SUBTOTAL(9,C15:C22)</f>
        <v>5102</v>
      </c>
      <c r="D23" s="1147" t="str">
        <f>IF(ISNUMBER(C23/Datos!BI23),C23/Datos!BI23," - ")</f>
        <v xml:space="preserve"> - </v>
      </c>
      <c r="E23" s="1146">
        <f>SUBTOTAL(9,E15:E22)</f>
        <v>5708</v>
      </c>
      <c r="F23" s="1147">
        <f>IF(ISNUMBER(E23/B23),E23/B23," - ")</f>
        <v>475.66666666666669</v>
      </c>
      <c r="G23" s="1146">
        <f>SUBTOTAL(9,G15:G22)</f>
        <v>6090</v>
      </c>
      <c r="H23" s="1147">
        <f>IF(ISNUMBER(G23/B23),G23/B23," - ")</f>
        <v>507.5</v>
      </c>
      <c r="I23" s="1146">
        <f>SUBTOTAL(9,I15:I22)</f>
        <v>5063</v>
      </c>
      <c r="J23" s="1147">
        <f>IF(ISNUMBER(I23/B23),I23/B23," - ")</f>
        <v>421.91666666666669</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28</v>
      </c>
      <c r="C31" s="1084">
        <f>SUBTOTAL(9,C9:C30)</f>
        <v>21791</v>
      </c>
      <c r="D31" s="1085" t="str">
        <f>IF(ISNUMBER(C31/Datos!BI31),C31/Datos!BI31," - ")</f>
        <v xml:space="preserve"> - </v>
      </c>
      <c r="E31" s="1084">
        <f>SUBTOTAL(9,E9:E30)</f>
        <v>14040</v>
      </c>
      <c r="F31" s="1085">
        <f>IF(ISNUMBER(E31/B31),E31/B31," - ")</f>
        <v>501.42857142857144</v>
      </c>
      <c r="G31" s="1084">
        <f>SUBTOTAL(9,G9:G30)</f>
        <v>13237</v>
      </c>
      <c r="H31" s="1085">
        <f>IF(ISNUMBER(G31/B31),G31/B31," - ")</f>
        <v>472.75</v>
      </c>
      <c r="I31" s="1084">
        <f>SUBTOTAL(9,I9:I30)</f>
        <v>22957</v>
      </c>
      <c r="J31" s="1085">
        <f>IF(ISNUMBER(I31/B31),I31/B31," - ")</f>
        <v>819.89285714285711</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8xv0Krxqg4GkZXS2P/tbPOOWxink6xAndXoC9c/aIYT2wbvvwb21pl/wqdd7/aDFybqT4eHA8qvScPkaTyC98g==" saltValue="DLlRaLHvQHvZt3tbezmTJ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PAIS VASCO</v>
      </c>
      <c r="F1" s="856"/>
      <c r="W1"/>
      <c r="X1"/>
      <c r="BE1" s="856"/>
    </row>
    <row r="2" spans="1:65" ht="16.5" customHeight="1">
      <c r="C2" s="567" t="str">
        <f>Criterios!A10 &amp;"  "&amp;Criterios!B10 &amp; "  " &amp; IF(NOT(ISBLANK(Criterios!A11)),Criterios!A11 &amp;"  "&amp;Criterios!B11,"")</f>
        <v>Provincias  BIZKAIA  Resumenes por Partidos Judiciales  BILBAO</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4 al 4</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13</v>
      </c>
      <c r="B9" s="745" t="s">
        <v>321</v>
      </c>
      <c r="C9" s="765" t="str">
        <f>Datos!A9</f>
        <v xml:space="preserve">Jdos. 1ª Instancia   </v>
      </c>
      <c r="D9" s="593"/>
      <c r="E9" s="904">
        <f>IF(ISNUMBER(Datos!AQ9),Datos!AQ9," - ")</f>
        <v>13</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2</v>
      </c>
      <c r="B10" s="746" t="s">
        <v>321</v>
      </c>
      <c r="C10" s="747" t="str">
        <f>Datos!A10</f>
        <v>Jdos. Violencia contra la mujer</v>
      </c>
      <c r="D10" s="601"/>
      <c r="E10" s="904">
        <f>IF(ISNUMBER(Datos!AQ10),Datos!AQ10," - ")</f>
        <v>2</v>
      </c>
      <c r="F10" s="905">
        <f>IF(ISNUMBER(Datos!L10+Datos!K10-Datos!J10),Datos!L10+Datos!K10-Datos!J10," - ")</f>
        <v>264</v>
      </c>
      <c r="G10" s="906">
        <f>IF(ISNUMBER(Datos!I10),Datos!I10," - ")</f>
        <v>264</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18</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f>IF(ISNUMBER(DatosP!AS18/E10),DatosP!AS18/E10," - ")</f>
        <v>0</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95</v>
      </c>
      <c r="AC10" s="905" t="str">
        <f>IF(ISNUMBER(IF(D_I="SI",DatosP!K18,DatosP!K18+DatosP!AE18)),IF(D_I="SI",DatosP!K18,DatosP!K18+DatosP!AE18)," - ")</f>
        <v xml:space="preserve"> - </v>
      </c>
      <c r="AD10" s="907"/>
      <c r="AE10" s="907"/>
      <c r="AF10" s="910">
        <f>IF(ISNUMBER(Datos!L10),Datos!L10,"-")</f>
        <v>305</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36</v>
      </c>
      <c r="AM10" s="914">
        <f>IF(ISNUMBER(Datos!N10+DatosP!N18),Datos!N10+DatosP!N18," - ")</f>
        <v>24</v>
      </c>
      <c r="AN10" s="914">
        <f>IF(ISNUMBER(Datos!BW10+DatosP!BW18),Datos!BW10+DatosP!BW18," - ")</f>
        <v>0</v>
      </c>
      <c r="AO10" s="915">
        <f>IF(ISNUMBER(Datos!BX10+DatosP!BX18),Datos!BX10+DatosP!BX18," - ")</f>
        <v>0</v>
      </c>
      <c r="AP10" s="917">
        <f>IF(ISNUMBER(((Datos!L10/Datos!K10)*11)/factor_trimestre),((Datos!L10/Datos!K10)*11)/factor_trimestre," - ")</f>
        <v>9.6315789473684212</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3</v>
      </c>
      <c r="B11" s="746" t="s">
        <v>321</v>
      </c>
      <c r="C11" s="747" t="str">
        <f>Datos!A11</f>
        <v xml:space="preserve">Jdos. Familia                                   </v>
      </c>
      <c r="D11" s="601"/>
      <c r="E11" s="904">
        <f>IF(ISNUMBER(Datos!AQ11),Datos!AQ11," - ")</f>
        <v>3</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0</v>
      </c>
      <c r="B12" s="746" t="s">
        <v>321</v>
      </c>
      <c r="C12" s="747" t="str">
        <f>Datos!A12</f>
        <v xml:space="preserve">Jdos. 1ª Instª. e Instr.                        </v>
      </c>
      <c r="D12" s="601"/>
      <c r="E12" s="904">
        <f>IF(ISNUMBER(Datos!AQ12),Datos!AQ12," - ")</f>
        <v>0</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0</v>
      </c>
      <c r="O12" s="907">
        <f>IF(ISNUMBER(DatosP!P17),DatosP!P17,0)</f>
        <v>0</v>
      </c>
      <c r="P12" s="907" t="str">
        <f>IF(ISNUMBER(DatosP!DE17),DatosP!DE17," - ")</f>
        <v xml:space="preserve"> - </v>
      </c>
      <c r="Q12" s="908"/>
      <c r="R12" s="908"/>
      <c r="S12" s="907" t="str">
        <f>IF(ISNUMBER(Datos!AS12*(2500/380)+DatosP!AS17),Datos!AS12*(2500/380)+DatosP!AS17," - ")</f>
        <v xml:space="preserve"> - </v>
      </c>
      <c r="T12" s="907" t="str">
        <f>IF(ISNUMBER(DatosP!AS17/E12),DatosP!AS17/E12," - ")</f>
        <v xml:space="preserve"> - </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t="str">
        <f>IF(ISNUMBER(Datos!Q12),Datos!Q12," - ")</f>
        <v xml:space="preserve"> - </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t="str">
        <f>IF(ISNUMBER(Datos!R12),Datos!R12," - ")</f>
        <v xml:space="preserve"> - </v>
      </c>
      <c r="AI12" s="911" t="str">
        <f>IF(ISNUMBER(DatosP!R17),DatosP!R17," - ")</f>
        <v xml:space="preserve"> - </v>
      </c>
      <c r="AJ12" s="904">
        <f>IF(ISNUMBER(Datos!BV12+DatosP!BV17),Datos!BV12+DatosP!BV17," - ")</f>
        <v>0</v>
      </c>
      <c r="AK12" s="912" t="str">
        <f>IF(ISNUMBER(Datos!DV12),Datos!DV12," - ")</f>
        <v xml:space="preserve"> - </v>
      </c>
      <c r="AL12" s="905" t="str">
        <f>IF(ISNUMBER(Datos!M12+DatosP!M17),Datos!M12+DatosP!M17," - ")</f>
        <v xml:space="preserve"> - </v>
      </c>
      <c r="AM12" s="914" t="str">
        <f>IF(ISNUMBER(Datos!N12+DatosP!N17),Datos!N12+DatosP!N17," - ")</f>
        <v xml:space="preserve"> - </v>
      </c>
      <c r="AN12" s="914">
        <f>IF(ISNUMBER(Datos!BW12+DatosP!BW17),Datos!BW12+DatosP!BW17," - ")</f>
        <v>0</v>
      </c>
      <c r="AO12" s="915">
        <f>IF(ISNUMBER(Datos!BX12+DatosP!BX17),Datos!BX12+DatosP!BX17," - ")</f>
        <v>0</v>
      </c>
      <c r="AP12" s="917" t="str">
        <f>IF(ISNUMBER(((IF(J_V="SI",Datos!L12/Datos!K12,(Datos!L12+Datos!AB12)/(Datos!K12+Datos!AA12)))*11)/factor_trimestre),((IF(J_V="SI",Datos!L12/Datos!K12,(Datos!L12+Datos!AB12)/(Datos!K12+Datos!AA12)))*11)/factor_trimestre," - ")</f>
        <v xml:space="preserve"> - </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t="str">
        <f>IF(ISNUMBER((Datos!P12-Datos!Q12+Datos!DE12)/(Datos!R12-Datos!P12+Datos!Q12-Datos!DE12)),(Datos!P12-Datos!Q12+Datos!DE12)/(Datos!R12-Datos!P12+Datos!Q12-Datos!DE12)," - ")</f>
        <v xml:space="preserve"> - </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18</v>
      </c>
      <c r="F14" s="1256">
        <f t="shared" si="0"/>
        <v>264</v>
      </c>
      <c r="G14" s="1256">
        <f t="shared" si="0"/>
        <v>264</v>
      </c>
      <c r="H14" s="1256">
        <f t="shared" si="0"/>
        <v>0</v>
      </c>
      <c r="I14" s="1258">
        <f t="shared" si="0"/>
        <v>0</v>
      </c>
      <c r="J14" s="1257">
        <f t="shared" si="0"/>
        <v>0</v>
      </c>
      <c r="K14" s="1257">
        <f t="shared" si="0"/>
        <v>0</v>
      </c>
      <c r="L14" s="1259">
        <f t="shared" si="0"/>
        <v>0</v>
      </c>
      <c r="M14" s="1259">
        <f t="shared" si="0"/>
        <v>0</v>
      </c>
      <c r="N14" s="1257">
        <f t="shared" si="0"/>
        <v>18</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95</v>
      </c>
      <c r="AC14" s="1257">
        <f t="shared" si="1"/>
        <v>0</v>
      </c>
      <c r="AD14" s="1257">
        <f t="shared" si="1"/>
        <v>0</v>
      </c>
      <c r="AE14" s="1257">
        <f t="shared" si="1"/>
        <v>0</v>
      </c>
      <c r="AF14" s="1257">
        <f t="shared" si="1"/>
        <v>305</v>
      </c>
      <c r="AG14" s="1257">
        <f t="shared" si="1"/>
        <v>0</v>
      </c>
      <c r="AH14" s="1257">
        <f t="shared" si="1"/>
        <v>0</v>
      </c>
      <c r="AI14" s="1257">
        <f t="shared" si="1"/>
        <v>0</v>
      </c>
      <c r="AJ14" s="1257">
        <f t="shared" si="1"/>
        <v>0</v>
      </c>
      <c r="AK14" s="1257">
        <f t="shared" si="1"/>
        <v>0</v>
      </c>
      <c r="AL14" s="1257">
        <f t="shared" si="1"/>
        <v>36</v>
      </c>
      <c r="AM14" s="1257">
        <f t="shared" si="1"/>
        <v>24</v>
      </c>
      <c r="AN14" s="1257">
        <f t="shared" si="1"/>
        <v>0</v>
      </c>
      <c r="AO14" s="1257">
        <f t="shared" si="1"/>
        <v>0</v>
      </c>
      <c r="AP14" s="1262">
        <f>IF(ISNUMBER(((Datos!L14/Datos!K14)*11)/factor_trimestre),((Datos!L14/Datos!K14)*11)/factor_trimestre," - ")</f>
        <v>8.341101356743815</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-0.35984848484848486</v>
      </c>
      <c r="AU14" s="1257" t="str">
        <f>IF(ISNUMBER((DatosP!#REF!-DatosP!#REF!+DatosP!#REF!)/(DatosP!#REF!+DatosP!#REF!-DatosP!#REF!-DatosP!#REF!)),(DatosP!#REF!-DatosP!#REF!+DatosP!#REF!)/(DatosP!#REF!+DatosP!#REF!-DatosP!#REF!-DatosP!#REF!)," - ")</f>
        <v xml:space="preserve"> - </v>
      </c>
      <c r="AV14" s="1263">
        <f>SUBTOTAL(9,AV9:AV13)</f>
        <v>0</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10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0</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2</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2.494088669950739</v>
      </c>
      <c r="AQ23" s="1262">
        <f>IF(ISNUMBER(((Datos!M23/Datos!L23)*11)/factor_trimestre),((Datos!M23/Datos!L23)*11)/factor_trimestre," - ")</f>
        <v>0.74600039502271376</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1.2716763005780347E-2</v>
      </c>
      <c r="AW23" s="1265">
        <f>IF(ISNUMBER((Datos!Q23-Datos!R23)/(Datos!S23-Datos!Q23+Datos!R23)),(Datos!Q23-Datos!R23)/(Datos!S23-Datos!Q23+Datos!R23)," - ")</f>
        <v>-7.9410707869205899E-2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18</v>
      </c>
      <c r="F31" s="1278">
        <f t="shared" si="8"/>
        <v>264</v>
      </c>
      <c r="G31" s="1278">
        <f t="shared" si="8"/>
        <v>264</v>
      </c>
      <c r="H31" s="1278">
        <f t="shared" si="8"/>
        <v>0</v>
      </c>
      <c r="I31" s="1279">
        <f t="shared" si="8"/>
        <v>0</v>
      </c>
      <c r="J31" s="1280">
        <f t="shared" si="8"/>
        <v>0</v>
      </c>
      <c r="K31" s="1280">
        <f t="shared" si="8"/>
        <v>0</v>
      </c>
      <c r="L31" s="1280">
        <f t="shared" si="8"/>
        <v>0</v>
      </c>
      <c r="M31" s="1280">
        <f t="shared" si="8"/>
        <v>0</v>
      </c>
      <c r="N31" s="1279">
        <f t="shared" si="8"/>
        <v>18</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95</v>
      </c>
      <c r="AC31" s="1284">
        <f t="shared" si="9"/>
        <v>0</v>
      </c>
      <c r="AD31" s="1284">
        <f t="shared" si="9"/>
        <v>0</v>
      </c>
      <c r="AE31" s="1284">
        <f t="shared" si="9"/>
        <v>0</v>
      </c>
      <c r="AF31" s="1285">
        <f t="shared" si="9"/>
        <v>305</v>
      </c>
      <c r="AG31" s="1285">
        <f t="shared" si="9"/>
        <v>0</v>
      </c>
      <c r="AH31" s="1285">
        <f t="shared" si="9"/>
        <v>0</v>
      </c>
      <c r="AI31" s="1285">
        <f t="shared" si="9"/>
        <v>0</v>
      </c>
      <c r="AJ31" s="1286">
        <f t="shared" si="9"/>
        <v>0</v>
      </c>
      <c r="AK31" s="1286">
        <f t="shared" si="9"/>
        <v>0</v>
      </c>
      <c r="AL31" s="1278">
        <f t="shared" si="9"/>
        <v>36</v>
      </c>
      <c r="AM31" s="1278">
        <f t="shared" si="9"/>
        <v>24</v>
      </c>
      <c r="AN31" s="1278">
        <f t="shared" si="9"/>
        <v>0</v>
      </c>
      <c r="AO31" s="1278">
        <f t="shared" si="9"/>
        <v>0</v>
      </c>
      <c r="AP31" s="1278">
        <f>IF(ISNUMBER(((Datos!L31/Datos!K31)*11)/factor_trimestre),((Datos!L31/Datos!K31)*11)/factor_trimestre," - ")</f>
        <v>5.4590044516390126</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-0.35984848484848486</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-7.3356531552713254E-3</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105.6</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6.7268120235368549</v>
      </c>
      <c r="F33" s="1006">
        <f>IF(ISNUMBER(STDEV(F8:F30)),STDEV(F8:F30),"-")</f>
        <v>144.59875518136386</v>
      </c>
      <c r="G33" s="1007">
        <f>IF(ISNUMBER(STDEV(G8:G30)),STDEV(G8:G30),"-")</f>
        <v>144.59875518136386</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52.033642962990783</v>
      </c>
      <c r="AC33" s="1008">
        <f>IF(ISNUMBER(STDEV(AC8:AC30)),STDEV(AC8:AC30),"-")</f>
        <v>0</v>
      </c>
      <c r="AD33" s="1011"/>
      <c r="AE33" s="1011"/>
      <c r="AF33" s="1011"/>
      <c r="AG33" s="1011"/>
      <c r="AH33" s="1011"/>
      <c r="AI33" s="1011"/>
      <c r="AJ33" s="1012">
        <f>IF(ISNUMBER(STDEV(AJ8:AJ30)),STDEV(AJ8:AJ30),"-")</f>
        <v>0</v>
      </c>
      <c r="AK33" s="1014"/>
      <c r="AL33" s="1006">
        <f>IF(ISNUMBER(STDEV(AL8:AL30)),STDEV(AL8:AL30),"-")</f>
        <v>19.718012070185981</v>
      </c>
      <c r="AM33" s="1006"/>
      <c r="AN33" s="1006">
        <f>IF(ISNUMBER(STDEV(AN8:AN30)),STDEV(AN8:AN30),"-")</f>
        <v>0</v>
      </c>
      <c r="AO33" s="1012">
        <f>IF(ISNUMBER(STDEV(AO8:AO30)),STDEV(AO8:AO30),"-")</f>
        <v>0</v>
      </c>
      <c r="AP33" s="1065">
        <f>IF(ISNUMBER(STDEV(AP8:AP30)),STDEV(AP8:AP30),"-")</f>
        <v>3.8034339140583495</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snjdSGhWcAwDl0rFrah6FMmj5VVDx/7F5y+UtqDqnUNVe4uBF1iksxpdjk5S1Hjr7c27U9RuP1eSG4TqLCzDxA==" saltValue="lrWxGFC2PTcSEroIsG1lK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PAIS VASCO</v>
      </c>
      <c r="C2" s="436"/>
      <c r="E2" s="436"/>
      <c r="F2" s="436"/>
      <c r="G2" s="436"/>
      <c r="H2" s="436"/>
    </row>
    <row r="3" spans="1:15" ht="39">
      <c r="A3" s="463" t="s">
        <v>280</v>
      </c>
      <c r="B3" s="439" t="str">
        <f>Criterios!A10 &amp;"  "&amp;Criterios!B10</f>
        <v>Provincias  BIZKAIA</v>
      </c>
      <c r="C3" s="463"/>
      <c r="F3" s="436"/>
      <c r="G3" s="436"/>
      <c r="H3" s="436"/>
    </row>
    <row r="4" spans="1:15" ht="13.5" thickBot="1">
      <c r="A4" s="436"/>
      <c r="B4" s="439" t="str">
        <f>Criterios!A11 &amp;"  "&amp;Criterios!B11</f>
        <v>Resumenes por Partidos Judiciales  BILBAO</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13</v>
      </c>
      <c r="D9" s="451">
        <f>Datos!BK9</f>
        <v>0</v>
      </c>
      <c r="E9" s="451">
        <f>Datos!AQ9</f>
        <v>13</v>
      </c>
      <c r="F9" s="452">
        <f>IF(ISNUMBER(E9/Datos!BH9),E9/Datos!BH9," - ")</f>
        <v>1</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2</v>
      </c>
      <c r="D10" s="451">
        <f>Datos!BK10</f>
        <v>0</v>
      </c>
      <c r="E10" s="451">
        <f>Datos!AQ10</f>
        <v>2</v>
      </c>
      <c r="F10" s="452">
        <f>IF(ISNUMBER(E10/Datos!BH10),E10/Datos!BH10," - ")</f>
        <v>1</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3</v>
      </c>
      <c r="D11" s="451">
        <f>Datos!BK11</f>
        <v>0</v>
      </c>
      <c r="E11" s="451">
        <f>Datos!AQ11</f>
        <v>3</v>
      </c>
      <c r="F11" s="452">
        <f>IF(ISNUMBER(E11/Datos!BH11),E11/Datos!BH11," - ")</f>
        <v>1</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0</v>
      </c>
      <c r="D12" s="451">
        <f>Datos!BK12</f>
        <v>0</v>
      </c>
      <c r="E12" s="451">
        <f>Datos!AQ12</f>
        <v>0</v>
      </c>
      <c r="F12" s="452" t="str">
        <f>IF(ISNUMBER(E12/Datos!BH12),E12/Datos!BH12," - ")</f>
        <v xml:space="preserve"> - </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10</v>
      </c>
      <c r="D16" s="451">
        <f>Datos!BK16</f>
        <v>0</v>
      </c>
      <c r="E16" s="451">
        <f>Datos!AQ16</f>
        <v>10</v>
      </c>
      <c r="F16" s="452">
        <f>IF(ISNUMBER(E16/Datos!BH16),E16/Datos!BH16," - ")</f>
        <v>1</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0</v>
      </c>
      <c r="D17" s="451">
        <f>Datos!BK17</f>
        <v>0</v>
      </c>
      <c r="E17" s="451">
        <f>Datos!AQ17</f>
        <v>0</v>
      </c>
      <c r="F17" s="452" t="str">
        <f>IF(ISNUMBER(E17/Datos!BH17),E17/Datos!BH17," - ")</f>
        <v xml:space="preserve"> - </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2</v>
      </c>
      <c r="D18" s="451">
        <f>Datos!BK18</f>
        <v>0</v>
      </c>
      <c r="E18" s="451">
        <f>Datos!AQ18</f>
        <v>2</v>
      </c>
      <c r="F18" s="452">
        <f>IF(ISNUMBER(E18/Datos!BH18),E18/Datos!BH18," - ")</f>
        <v>1</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uuTadfkzG8LfYr/BRfqq/1bZ6tpJ+sO1xoZ/XBEMp1nCtnnKI1rsbe+6NoHn+lWdCBzm2XgQKZn4/bIZng5CVw==" saltValue="eJ68Y+EMFsDwUEbKuWYnaQ=="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PAIS VASCO</v>
      </c>
      <c r="C2" s="475"/>
      <c r="D2" s="418"/>
    </row>
    <row r="3" spans="1:9" ht="19.5">
      <c r="A3" s="476" t="s">
        <v>16</v>
      </c>
      <c r="B3" s="477" t="str">
        <f>Criterios!A10 &amp;"  "&amp;Criterios!B10</f>
        <v>Provincias  BIZKAIA</v>
      </c>
      <c r="C3" s="475"/>
      <c r="D3" s="476"/>
    </row>
    <row r="4" spans="1:9" ht="13.5" thickBot="1">
      <c r="B4" s="477" t="str">
        <f>Criterios!A11 &amp;"  "&amp;Criterios!B11</f>
        <v>Resumenes por Partidos Judiciales  BILBAO</v>
      </c>
    </row>
    <row r="5" spans="1:9" ht="15.75" customHeight="1">
      <c r="A5" s="1591" t="str">
        <f>"Año:  " &amp;Criterios!B5 &amp; "                  Trimestre   " &amp;Criterios!D5 &amp; " al " &amp;Criterios!D6</f>
        <v>Año:  2022                  Trimestre   4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13</v>
      </c>
      <c r="C9" s="458">
        <f>Datos!AQ9</f>
        <v>13</v>
      </c>
      <c r="D9" s="451">
        <f>IF(ISNUMBER(Datos!M9),Datos!M9," - ")</f>
        <v>2044</v>
      </c>
      <c r="E9" s="452">
        <f t="shared" ref="E9:E14" si="0">IF(ISNUMBER(D9/B9),D9/B9," - ")</f>
        <v>157.23076923076923</v>
      </c>
      <c r="F9" s="451">
        <f>IF(ISNUMBER(Datos!N9),Datos!N9," - ")</f>
        <v>2092</v>
      </c>
      <c r="G9" s="452">
        <f t="shared" ref="G9:G14" si="1">IF(ISNUMBER(F9/B9),F9/B9," - ")</f>
        <v>160.92307692307693</v>
      </c>
      <c r="H9" s="451">
        <f>IF(ISNUMBER(Datos!O9),Datos!O9," - ")</f>
        <v>2476</v>
      </c>
      <c r="I9" s="452">
        <f>IF(ISNUMBER(H9/B9),H9/B9," - ")</f>
        <v>190.46153846153845</v>
      </c>
    </row>
    <row r="10" spans="1:9">
      <c r="A10" s="450" t="str">
        <f>Datos!A10</f>
        <v>Jdos. Violencia contra la mujer</v>
      </c>
      <c r="B10" s="480">
        <f>Datos!AO10</f>
        <v>2</v>
      </c>
      <c r="C10" s="458">
        <f>Datos!AQ10</f>
        <v>2</v>
      </c>
      <c r="D10" s="451">
        <f>IF(ISNUMBER(Datos!M10),Datos!M10," - ")</f>
        <v>36</v>
      </c>
      <c r="E10" s="452">
        <f>IF(ISNUMBER(D10/B10),D10/B10," - ")</f>
        <v>18</v>
      </c>
      <c r="F10" s="451">
        <f>IF(ISNUMBER(Datos!N10),Datos!N10," - ")</f>
        <v>24</v>
      </c>
      <c r="G10" s="452">
        <f>IF(ISNUMBER(F10/B10),F10/B10," - ")</f>
        <v>12</v>
      </c>
      <c r="H10" s="451">
        <f>IF(ISNUMBER(Datos!O10),Datos!O10," - ")</f>
        <v>21</v>
      </c>
      <c r="I10" s="452">
        <f t="shared" ref="I10:I13" si="2">IF(ISNUMBER(H10/B10),H10/B10," - ")</f>
        <v>10.5</v>
      </c>
    </row>
    <row r="11" spans="1:9">
      <c r="A11" s="450" t="str">
        <f>Datos!A11</f>
        <v xml:space="preserve">Jdos. Familia                                   </v>
      </c>
      <c r="B11" s="480">
        <f>Datos!AO11</f>
        <v>3</v>
      </c>
      <c r="C11" s="458">
        <f>Datos!AQ11</f>
        <v>3</v>
      </c>
      <c r="D11" s="451">
        <f>IF(ISNUMBER(Datos!M11),Datos!M11," - ")</f>
        <v>223</v>
      </c>
      <c r="E11" s="452">
        <f t="shared" si="0"/>
        <v>74.333333333333329</v>
      </c>
      <c r="F11" s="451">
        <f>IF(ISNUMBER(Datos!N11),Datos!N11," - ")</f>
        <v>201</v>
      </c>
      <c r="G11" s="452">
        <f t="shared" si="1"/>
        <v>67</v>
      </c>
      <c r="H11" s="451">
        <f>IF(ISNUMBER(Datos!O11),Datos!O11," - ")</f>
        <v>165</v>
      </c>
      <c r="I11" s="452">
        <f t="shared" si="2"/>
        <v>55</v>
      </c>
    </row>
    <row r="12" spans="1:9">
      <c r="A12" s="450" t="str">
        <f>Datos!A12</f>
        <v xml:space="preserve">Jdos. 1ª Instª. e Instr.                        </v>
      </c>
      <c r="B12" s="480">
        <f>Datos!AO12</f>
        <v>0</v>
      </c>
      <c r="C12" s="458">
        <f>Datos!AQ12</f>
        <v>0</v>
      </c>
      <c r="D12" s="451" t="str">
        <f>IF(ISNUMBER(Datos!M12),Datos!M12," - ")</f>
        <v xml:space="preserve"> - </v>
      </c>
      <c r="E12" s="452" t="str">
        <f t="shared" si="0"/>
        <v xml:space="preserve"> - </v>
      </c>
      <c r="F12" s="451" t="str">
        <f>IF(ISNUMBER(Datos!N12),Datos!N12," - ")</f>
        <v xml:space="preserve"> - </v>
      </c>
      <c r="G12" s="452" t="str">
        <f t="shared" si="1"/>
        <v xml:space="preserve"> - </v>
      </c>
      <c r="H12" s="451" t="str">
        <f>IF(ISNUMBER(Datos!O12),Datos!O12," - ")</f>
        <v xml:space="preserve"> - </v>
      </c>
      <c r="I12" s="452" t="str">
        <f t="shared" si="2"/>
        <v xml:space="preserve"> - </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18</v>
      </c>
      <c r="C14" s="1148">
        <f>Datos!AR14</f>
        <v>18</v>
      </c>
      <c r="D14" s="1146">
        <f>SUBTOTAL(9,D9:D13)</f>
        <v>2303</v>
      </c>
      <c r="E14" s="1147">
        <f t="shared" si="0"/>
        <v>127.94444444444444</v>
      </c>
      <c r="F14" s="1146">
        <f>SUBTOTAL(9,F9:F13)</f>
        <v>2317</v>
      </c>
      <c r="G14" s="1147">
        <f t="shared" si="1"/>
        <v>128.72222222222223</v>
      </c>
      <c r="H14" s="1146">
        <f>SUBTOTAL(9,H9:H13)</f>
        <v>2662</v>
      </c>
      <c r="I14" s="1147">
        <f>IF(ISNUMBER(H14/B14),H14/B14," - ")</f>
        <v>147.88888888888889</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10</v>
      </c>
      <c r="C16" s="481">
        <f>Datos!AQ16</f>
        <v>10</v>
      </c>
      <c r="D16" s="451">
        <f>IF(ISNUMBER(Datos!M16),Datos!M16," - ")</f>
        <v>1159</v>
      </c>
      <c r="E16" s="452">
        <f t="shared" ref="E16:E23" si="3">IF(ISNUMBER(D16/B16),D16/B16," - ")</f>
        <v>115.9</v>
      </c>
      <c r="F16" s="451">
        <f>IF(ISNUMBER(Datos!N16),Datos!N16," - ")</f>
        <v>2563</v>
      </c>
      <c r="G16" s="452">
        <f t="shared" ref="G16:G23" si="4">IF(ISNUMBER(F16/B16),F16/B16," - ")</f>
        <v>256.3</v>
      </c>
      <c r="H16" s="451">
        <f>IF(ISNUMBER(Datos!O16),Datos!O16," - ")</f>
        <v>0</v>
      </c>
      <c r="I16" s="452">
        <f t="shared" ref="I16:I22" si="5">IF(ISNUMBER(H16/B16),H16/B16," - ")</f>
        <v>0</v>
      </c>
    </row>
    <row r="17" spans="1:9">
      <c r="A17" s="450" t="str">
        <f>Datos!A17</f>
        <v xml:space="preserve">Jdos. 1ª Instª. e Instr.                        </v>
      </c>
      <c r="B17" s="480">
        <f>Datos!AO17</f>
        <v>0</v>
      </c>
      <c r="C17" s="481">
        <f>Datos!AQ17</f>
        <v>0</v>
      </c>
      <c r="D17" s="451" t="str">
        <f>IF(ISNUMBER(Datos!M17),Datos!M17," - ")</f>
        <v xml:space="preserve"> - </v>
      </c>
      <c r="E17" s="452" t="str">
        <f t="shared" si="3"/>
        <v xml:space="preserve"> - </v>
      </c>
      <c r="F17" s="451" t="str">
        <f>IF(ISNUMBER(Datos!N17),Datos!N17," - ")</f>
        <v xml:space="preserve"> - </v>
      </c>
      <c r="G17" s="452" t="str">
        <f t="shared" si="4"/>
        <v xml:space="preserve"> - </v>
      </c>
      <c r="H17" s="451" t="str">
        <f>IF(ISNUMBER(Datos!O17),Datos!O17," - ")</f>
        <v xml:space="preserve"> - </v>
      </c>
      <c r="I17" s="452" t="str">
        <f t="shared" si="5"/>
        <v xml:space="preserve"> - </v>
      </c>
    </row>
    <row r="18" spans="1:9">
      <c r="A18" s="450" t="str">
        <f>Datos!A18</f>
        <v>Jdos. Violencia contra la mujer</v>
      </c>
      <c r="B18" s="480">
        <f>Datos!AO18</f>
        <v>2</v>
      </c>
      <c r="C18" s="481">
        <f>Datos!AQ18</f>
        <v>2</v>
      </c>
      <c r="D18" s="451">
        <f>IF(ISNUMBER(Datos!M18),Datos!M18," - ")</f>
        <v>100</v>
      </c>
      <c r="E18" s="452">
        <f>IF(ISNUMBER(D18/B18),D18/B18," - ")</f>
        <v>50</v>
      </c>
      <c r="F18" s="451">
        <f>IF(ISNUMBER(Datos!N18),Datos!N18," - ")</f>
        <v>313</v>
      </c>
      <c r="G18" s="452">
        <f>IF(ISNUMBER(F18/B18),F18/B18," - ")</f>
        <v>156.5</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12</v>
      </c>
      <c r="C23" s="1148">
        <f>Datos!AR23</f>
        <v>12</v>
      </c>
      <c r="D23" s="1146">
        <f>SUBTOTAL(9,D16:D22)</f>
        <v>1259</v>
      </c>
      <c r="E23" s="1147">
        <f t="shared" si="3"/>
        <v>104.91666666666667</v>
      </c>
      <c r="F23" s="1146">
        <f>SUBTOTAL(9,F16:F22)</f>
        <v>2876</v>
      </c>
      <c r="G23" s="1147">
        <f t="shared" si="4"/>
        <v>239.66666666666666</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28</v>
      </c>
      <c r="C31" s="1084">
        <f>Datos!AR31</f>
        <v>28</v>
      </c>
      <c r="D31" s="1084">
        <f>SUBTOTAL(9,D8:D30)</f>
        <v>3562</v>
      </c>
      <c r="E31" s="1085">
        <f>IF(ISNUMBER(D31/B31),D31/B31," - ")</f>
        <v>127.21428571428571</v>
      </c>
      <c r="F31" s="1084">
        <f>SUBTOTAL(9,F8:F30)</f>
        <v>5193</v>
      </c>
      <c r="G31" s="1085">
        <f>IF(ISNUMBER(F31/B31),F31/B31," - ")</f>
        <v>185.46428571428572</v>
      </c>
      <c r="H31" s="1084">
        <f>SUBTOTAL(9,H8:H30)</f>
        <v>2662</v>
      </c>
      <c r="I31" s="1085">
        <f>IF(ISNUMBER(H31/B31),H31/B31," - ")</f>
        <v>95.071428571428569</v>
      </c>
    </row>
    <row r="34" spans="1:1">
      <c r="A34" s="439" t="str">
        <f>Criterios!A4</f>
        <v>Fecha Informe: 06 may. 2023</v>
      </c>
    </row>
    <row r="39" spans="1:1">
      <c r="A39" s="462"/>
    </row>
  </sheetData>
  <sheetProtection algorithmName="SHA-512" hashValue="E54tn5y/nw0Z/RNGgntctE1TMSyRxQL0YYKTjGwh1h/e4H+FKmJRZZLZfs2aNMeNZ8qkAm02VlNgBposXmTJvQ==" saltValue="ME+9VhIe4suFTnJzg3D8j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PAIS VASCO</v>
      </c>
    </row>
    <row r="3" spans="1:4" ht="19.5">
      <c r="A3" s="484" t="s">
        <v>48</v>
      </c>
      <c r="B3" s="439" t="str">
        <f>Criterios!A10 &amp;"  "&amp;Criterios!B10</f>
        <v>Provincias  BIZKAIA</v>
      </c>
    </row>
    <row r="4" spans="1:4" ht="13.5" thickBot="1">
      <c r="B4" s="439" t="str">
        <f>Criterios!A11 &amp;"  "&amp;Criterios!B11</f>
        <v>Resumenes por Partidos Judiciales  BILBAO</v>
      </c>
    </row>
    <row r="5" spans="1:4" ht="12.75" customHeight="1">
      <c r="A5" s="1591" t="str">
        <f>"Año:  " &amp;Criterios!B5 &amp; "                  Trimestre   " &amp;Criterios!D5 &amp; " al " &amp;Criterios!D6</f>
        <v>Año:  2022                  Trimestre   4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f>IF(ISNUMBER(Datos!P9),Datos!P9," - ")</f>
        <v>779</v>
      </c>
      <c r="C9" s="489">
        <f>IF(ISNUMBER(Datos!Q9),Datos!Q9," - ")</f>
        <v>845</v>
      </c>
      <c r="D9" s="456">
        <f>IF(ISNUMBER(Datos!R9),Datos!R9," - ")</f>
        <v>8592</v>
      </c>
    </row>
    <row r="10" spans="1:4">
      <c r="A10" s="450" t="str">
        <f>Datos!A10</f>
        <v>Jdos. Violencia contra la mujer</v>
      </c>
      <c r="B10" s="488">
        <f>IF(ISNUMBER(Datos!P10),Datos!P10," - ")</f>
        <v>18</v>
      </c>
      <c r="C10" s="489">
        <f>IF(ISNUMBER(Datos!Q10),Datos!Q10," - ")</f>
        <v>23</v>
      </c>
      <c r="D10" s="456">
        <f>IF(ISNUMBER(Datos!R10),Datos!R10," - ")</f>
        <v>203</v>
      </c>
    </row>
    <row r="11" spans="1:4">
      <c r="A11" s="450" t="str">
        <f>Datos!A11</f>
        <v xml:space="preserve">Jdos. Familia                                   </v>
      </c>
      <c r="B11" s="488">
        <f>IF(ISNUMBER(Datos!P11),Datos!P11," - ")</f>
        <v>64</v>
      </c>
      <c r="C11" s="489">
        <f>IF(ISNUMBER(Datos!Q11),Datos!Q11," - ")</f>
        <v>82</v>
      </c>
      <c r="D11" s="456">
        <f>IF(ISNUMBER(Datos!R11),Datos!R11," - ")</f>
        <v>884</v>
      </c>
    </row>
    <row r="12" spans="1:4">
      <c r="A12" s="450" t="str">
        <f>Datos!A12</f>
        <v xml:space="preserve">Jdos. 1ª Instª. e Instr.                        </v>
      </c>
      <c r="B12" s="488" t="str">
        <f>IF(ISNUMBER(Datos!P12),Datos!P12," - ")</f>
        <v xml:space="preserve"> - </v>
      </c>
      <c r="C12" s="489" t="str">
        <f>IF(ISNUMBER(Datos!Q12),Datos!Q12," - ")</f>
        <v xml:space="preserve"> - </v>
      </c>
      <c r="D12" s="456" t="str">
        <f>IF(ISNUMBER(Datos!R12),Datos!R12," - ")</f>
        <v xml:space="preserve"> - </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861</v>
      </c>
      <c r="C14" s="1150">
        <f>SUBTOTAL(9,C9:C13)</f>
        <v>950</v>
      </c>
      <c r="D14" s="1148">
        <f>SUBTOTAL(9,D9:D13)</f>
        <v>9679</v>
      </c>
    </row>
    <row r="15" spans="1:4" ht="13.5" thickTop="1">
      <c r="A15" s="444" t="str">
        <f>Datos!A15</f>
        <v xml:space="preserve">Jurisdicción Penal ( 2 ):                      </v>
      </c>
      <c r="B15" s="454"/>
      <c r="C15" s="490"/>
      <c r="D15" s="456"/>
    </row>
    <row r="16" spans="1:4">
      <c r="A16" s="450" t="str">
        <f>Datos!A16</f>
        <v xml:space="preserve">Jdos. Instrucción                               </v>
      </c>
      <c r="B16" s="488">
        <f>IF(ISNUMBER(Datos!P16),Datos!P16," - ")</f>
        <v>429</v>
      </c>
      <c r="C16" s="489">
        <f>IF(ISNUMBER(Datos!Q16),Datos!Q16," - ")</f>
        <v>415</v>
      </c>
      <c r="D16" s="456">
        <f>IF(ISNUMBER(Datos!R16),Datos!R16," - ")</f>
        <v>856</v>
      </c>
    </row>
    <row r="17" spans="1:4">
      <c r="A17" s="450" t="str">
        <f>Datos!A17</f>
        <v xml:space="preserve">Jdos. 1ª Instª. e Instr.                        </v>
      </c>
      <c r="B17" s="488" t="str">
        <f>IF(ISNUMBER(Datos!P17),Datos!P17," - ")</f>
        <v xml:space="preserve"> - </v>
      </c>
      <c r="C17" s="489" t="str">
        <f>IF(ISNUMBER(Datos!Q17),Datos!Q17," - ")</f>
        <v xml:space="preserve"> - </v>
      </c>
      <c r="D17" s="456" t="str">
        <f>IF(ISNUMBER(Datos!R17),Datos!R17," - ")</f>
        <v xml:space="preserve"> - </v>
      </c>
    </row>
    <row r="18" spans="1:4">
      <c r="A18" s="450" t="str">
        <f>Datos!A18</f>
        <v>Jdos. Violencia contra la mujer</v>
      </c>
      <c r="B18" s="488">
        <f>IF(ISNUMBER(Datos!P18),Datos!P18," - ")</f>
        <v>16</v>
      </c>
      <c r="C18" s="489">
        <f>IF(ISNUMBER(Datos!Q18),Datos!Q18," - ")</f>
        <v>19</v>
      </c>
      <c r="D18" s="456">
        <f>IF(ISNUMBER(Datos!R18),Datos!R18," - ")</f>
        <v>20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445</v>
      </c>
      <c r="C23" s="1150">
        <f>SUBTOTAL(9,C16:C22)</f>
        <v>434</v>
      </c>
      <c r="D23" s="1148">
        <f>SUBTOTAL(9,D16:D22)</f>
        <v>876</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1306</v>
      </c>
      <c r="C31" s="1089">
        <f>SUBTOTAL(9,C8:C30)</f>
        <v>1384</v>
      </c>
      <c r="D31" s="1090">
        <f>SUBTOTAL(9,D8:D30)</f>
        <v>10555</v>
      </c>
    </row>
    <row r="32" spans="1:4" ht="7.5" customHeight="1"/>
    <row r="33" spans="1:1" ht="6" customHeight="1"/>
    <row r="34" spans="1:1">
      <c r="A34" s="439" t="str">
        <f>Criterios!A4</f>
        <v>Fecha Informe: 06 may. 2023</v>
      </c>
    </row>
    <row r="39" spans="1:1">
      <c r="A39" s="462"/>
    </row>
  </sheetData>
  <sheetProtection algorithmName="SHA-512" hashValue="apMg82MqHGuZN8HmOnRlppsBaETGAzQeCLj6cNMMStv64unIJFRtkfM7IyIEaMAlyOAbLvLBc9qvgoYEa7ieIw==" saltValue="y5JVfICzwVn/28wIkCmk1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PAIS VASCO</v>
      </c>
    </row>
    <row r="3" spans="1:11" ht="18.75" customHeight="1">
      <c r="A3" s="484" t="s">
        <v>162</v>
      </c>
      <c r="B3" s="439" t="str">
        <f>Criterios!A10 &amp;"  "&amp;Criterios!B10</f>
        <v>Provincias  BIZKAIA</v>
      </c>
    </row>
    <row r="4" spans="1:11" ht="10.5" customHeight="1" thickBot="1">
      <c r="B4" s="439" t="str">
        <f>Criterios!A11 &amp;"  "&amp;Criterios!B11</f>
        <v>Resumenes por Partidos Judiciales  BILBAO</v>
      </c>
    </row>
    <row r="5" spans="1:11" ht="12.75" customHeight="1">
      <c r="A5" s="1591" t="str">
        <f>"Año:  " &amp;Criterios!B5 &amp; "    Trimestre   " &amp;Criterios!D5 &amp; " al " &amp;Criterios!D6</f>
        <v>Año:  2022    Trimestre   4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f>IF(ISNUMBER(
   IF(J_V="SI",(Datos!I9-Datos!S9)/Datos!S9,(Datos!I9+Datos!Y9-(Datos!S9+Datos!AG9))/(Datos!S9+Datos!AG9))
     ),IF(J_V="SI",(Datos!I9-Datos!S9)/Datos!S9,(Datos!I9+Datos!Y9-(Datos!S9+Datos!AG9))/(Datos!S9+Datos!AG9))," - ")</f>
        <v>-4.2304567893519968E-2</v>
      </c>
      <c r="C9" s="515">
        <f>IF(ISNUMBER(
   IF(J_V="SI",(Datos!J9-Datos!T9)/Datos!T9,(Datos!J9+Datos!Z9-(Datos!T9+Datos!AH9))/(Datos!T9+Datos!AH9))
     ),IF(J_V="SI",(Datos!J9-Datos!T9)/Datos!T9,(Datos!J9+Datos!Z9-(Datos!T9+Datos!AH9))/(Datos!T9+Datos!AH9))," - ")</f>
        <v>0.2978723404255319</v>
      </c>
      <c r="D9" s="515">
        <f>IF(ISNUMBER(
   IF(J_V="SI",(Datos!K9-Datos!U9)/Datos!U9,(Datos!K9+Datos!AA9-(Datos!U9+Datos!AI9))/(Datos!U9+Datos!AI9))
     ),IF(J_V="SI",(Datos!K9-Datos!U9)/Datos!U9,(Datos!K9+Datos!AA9-(Datos!U9+Datos!AI9))/(Datos!U9+Datos!AI9))," - ")</f>
        <v>3.224261771747805E-2</v>
      </c>
      <c r="E9" s="515">
        <f>IF(ISNUMBER(
   IF(J_V="SI",(Datos!L9-Datos!V9)/Datos!V9,(Datos!L9+Datos!AB9-(Datos!V9+Datos!AJ9))/(Datos!V9+Datos!AJ9))
     ),IF(J_V="SI",(Datos!L9-Datos!V9)/Datos!V9,(Datos!L9+Datos!AB9-(Datos!V9+Datos!AJ9))/(Datos!V9+Datos!AJ9))," - ")</f>
        <v>5.5922106207161613E-2</v>
      </c>
      <c r="F9" s="515">
        <f>IF(ISNUMBER((Datos!M9-Datos!W9)/Datos!W9),(Datos!M9-Datos!W9)/Datos!W9," - ")</f>
        <v>-0.13169073916737467</v>
      </c>
      <c r="G9" s="516">
        <f>IF(ISNUMBER((Datos!N9-Datos!X9)/Datos!X9),(Datos!N9-Datos!X9)/Datos!X9," - ")</f>
        <v>0.13019989195029713</v>
      </c>
      <c r="H9" s="514">
        <f>IF(ISNUMBER(((NºAsuntos!G9/NºAsuntos!E9)-Datos!BD9)/Datos!BD9),((NºAsuntos!G9/NºAsuntos!E9)-Datos!BD9)/Datos!BD9," - ")</f>
        <v>-0.20466552405374641</v>
      </c>
      <c r="I9" s="515">
        <f>IF(ISNUMBER(((NºAsuntos!I9/NºAsuntos!G9)-Datos!BE9)/Datos!BE9),((NºAsuntos!I9/NºAsuntos!G9)-Datos!BE9)/Datos!BE9," - ")</f>
        <v>2.2939847748240039E-2</v>
      </c>
      <c r="J9" s="521">
        <f>IF(ISNUMBER((('Resol  Asuntos'!D9/NºAsuntos!G9)-Datos!BF9)/Datos!BF9),(('Resol  Asuntos'!D9/NºAsuntos!G9)-Datos!BF9)/Datos!BF9," - ")</f>
        <v>6.977559762537934E-2</v>
      </c>
      <c r="K9" s="522">
        <f>IF(ISNUMBER((((NºAsuntos!C9+NºAsuntos!E9)/NºAsuntos!G9)-Datos!BG9)/Datos!BG9),(((NºAsuntos!C9+NºAsuntos!E9)/NºAsuntos!G9)-Datos!BG9)/Datos!BG9," - ")</f>
        <v>1.6277263150094777E-2</v>
      </c>
    </row>
    <row r="10" spans="1:11">
      <c r="A10" s="450" t="str">
        <f>Datos!A10</f>
        <v>Jdos. Violencia contra la mujer</v>
      </c>
      <c r="B10" s="514">
        <f>IF(ISNUMBER((Datos!I10-Datos!S10)/Datos!S10),(Datos!I10-Datos!S10)/Datos!S10," - ")</f>
        <v>1.5384615384615385E-2</v>
      </c>
      <c r="C10" s="515">
        <f>IF(ISNUMBER((Datos!J10-Datos!T10)/Datos!T10),(Datos!J10-Datos!T10)/Datos!T10," - ")</f>
        <v>1.72</v>
      </c>
      <c r="D10" s="515">
        <f>IF(ISNUMBER((Datos!K10-Datos!U10)/Datos!U10),(Datos!K10-Datos!U10)/Datos!U10," - ")</f>
        <v>0.484375</v>
      </c>
      <c r="E10" s="515">
        <f>IF(ISNUMBER((Datos!L10-Datos!V10)/Datos!V10),(Datos!L10-Datos!V10)/Datos!V10," - ")</f>
        <v>0.23983739837398374</v>
      </c>
      <c r="F10" s="515">
        <f>IF(ISNUMBER((Datos!M10-Datos!W10)/Datos!W10),(Datos!M10-Datos!W10)/Datos!W10," - ")</f>
        <v>0.16129032258064516</v>
      </c>
      <c r="G10" s="516">
        <f>IF(ISNUMBER((Datos!N10-Datos!X10)/Datos!X10),(Datos!N10-Datos!X10)/Datos!X10," - ")</f>
        <v>0.33333333333333331</v>
      </c>
      <c r="H10" s="514">
        <f>IF(ISNUMBER(((NºAsuntos!G10/NºAsuntos!E10)-Datos!BD10)/Datos!BD10),((NºAsuntos!G10/NºAsuntos!E10)-Datos!BD10)/Datos!BD10," - ")</f>
        <v>-0.45427389705882359</v>
      </c>
      <c r="I10" s="515">
        <f>IF(ISNUMBER(((NºAsuntos!I10/NºAsuntos!G10)-Datos!BE10)/Datos!BE10),((NºAsuntos!I10/NºAsuntos!G10)-Datos!BE10)/Datos!BE10," - ")</f>
        <v>-0.16474112109542144</v>
      </c>
      <c r="J10" s="521">
        <f>IF(ISNUMBER((('Resol  Asuntos'!D10/NºAsuntos!G10)-Datos!BF10)/Datos!BF10),(('Resol  Asuntos'!D10/NºAsuntos!G10)-Datos!BF10)/Datos!BF10," - ")</f>
        <v>-0.21765704584040743</v>
      </c>
      <c r="K10" s="522">
        <f>IF(ISNUMBER((((NºAsuntos!C10+NºAsuntos!E10)/NºAsuntos!G10)-Datos!BG10)/Datos!BG10),(((NºAsuntos!C10+NºAsuntos!E10)/NºAsuntos!G10)-Datos!BG10)/Datos!BG10," - ")</f>
        <v>-0.13073005093378612</v>
      </c>
    </row>
    <row r="11" spans="1:11">
      <c r="A11" s="450" t="str">
        <f>Datos!A11</f>
        <v xml:space="preserve">Jdos. Familia                                   </v>
      </c>
      <c r="B11" s="514">
        <f>IF(ISNUMBER(
   IF(J_V="SI",(Datos!I11-Datos!S11)/Datos!S11,(Datos!I11+Datos!Y11-(Datos!S11+Datos!AG11))/(Datos!S11+Datos!AG11))
     ),IF(J_V="SI",(Datos!I11-Datos!S11)/Datos!S11,(Datos!I11+Datos!Y11-(Datos!S11+Datos!AG11))/(Datos!S11+Datos!AG11))," - ")</f>
        <v>-0.15914307574598316</v>
      </c>
      <c r="C11" s="515">
        <f>IF(ISNUMBER(
   IF(J_V="SI",(Datos!J11-Datos!T11)/Datos!T11,(Datos!J11+Datos!Z11-(Datos!T11+Datos!AH11))/(Datos!T11+Datos!AH11))
     ),IF(J_V="SI",(Datos!J11-Datos!T11)/Datos!T11,(Datos!J11+Datos!Z11-(Datos!T11+Datos!AH11))/(Datos!T11+Datos!AH11))," - ")</f>
        <v>7.0546737213403876E-3</v>
      </c>
      <c r="D11" s="515">
        <f>IF(ISNUMBER(
   IF(J_V="SI",(Datos!K11-Datos!U11)/Datos!U11,(Datos!K11+Datos!AA11-(Datos!U11+Datos!AI11))/(Datos!U11+Datos!AI11))
     ),IF(J_V="SI",(Datos!K11-Datos!U11)/Datos!U11,(Datos!K11+Datos!AA11-(Datos!U11+Datos!AI11))/(Datos!U11+Datos!AI11))," - ")</f>
        <v>-0.11764705882352941</v>
      </c>
      <c r="E11" s="515">
        <f>IF(ISNUMBER(
   IF(J_V="SI",(Datos!L11-Datos!V11)/Datos!V11,(Datos!L11+Datos!AB11-(Datos!V11+Datos!AJ11))/(Datos!V11+Datos!AJ11))
     ),IF(J_V="SI",(Datos!L11-Datos!V11)/Datos!V11,(Datos!L11+Datos!AB11-(Datos!V11+Datos!AJ11))/(Datos!V11+Datos!AJ11))," - ")</f>
        <v>-8.8283828382838284E-2</v>
      </c>
      <c r="F11" s="515">
        <f>IF(ISNUMBER((Datos!M11-Datos!W11)/Datos!W11),(Datos!M11-Datos!W11)/Datos!W11," - ")</f>
        <v>-0.26644736842105265</v>
      </c>
      <c r="G11" s="516">
        <f>IF(ISNUMBER((Datos!N11-Datos!X11)/Datos!X11),(Datos!N11-Datos!X11)/Datos!X11," - ")</f>
        <v>0.43571428571428572</v>
      </c>
      <c r="H11" s="514">
        <f>IF(ISNUMBER(((NºAsuntos!G11/NºAsuntos!E11)-Datos!BD11)/Datos!BD11),((NºAsuntos!G11/NºAsuntos!E11)-Datos!BD11)/Datos!BD11," - ")</f>
        <v>-0.12382816524157829</v>
      </c>
      <c r="I11" s="515">
        <f>IF(ISNUMBER(((NºAsuntos!I11/NºAsuntos!G11)-Datos!BE11)/Datos!BE11),((NºAsuntos!I11/NºAsuntos!G11)-Datos!BE11)/Datos!BE11," - ")</f>
        <v>3.3278327832783283E-2</v>
      </c>
      <c r="J11" s="521">
        <f>IF(ISNUMBER((('Resol  Asuntos'!D11/NºAsuntos!G11)-Datos!BF11)/Datos!BF11),(('Resol  Asuntos'!D11/NºAsuntos!G11)-Datos!BF11)/Datos!BF11," - ")</f>
        <v>0.80523809523809509</v>
      </c>
      <c r="K11" s="522">
        <f>IF(ISNUMBER((((NºAsuntos!C11+NºAsuntos!E11)/NºAsuntos!G11)-Datos!BG11)/Datos!BG11),(((NºAsuntos!C11+NºAsuntos!E11)/NºAsuntos!G11)-Datos!BG11)/Datos!BG11," - ")</f>
        <v>9.9608680184987194E-3</v>
      </c>
    </row>
    <row r="12" spans="1:11">
      <c r="A12" s="450" t="str">
        <f>Datos!A12</f>
        <v xml:space="preserve">Jdos. 1ª Instª. e Instr.                        </v>
      </c>
      <c r="B12" s="514" t="str">
        <f>IF(ISNUMBER(
   IF(J_V="SI",(Datos!I12-Datos!S12)/Datos!S12,(Datos!I12+Datos!Y12-(Datos!S12+Datos!AG12))/(Datos!S12+Datos!AG12))
     ),IF(J_V="SI",(Datos!I12-Datos!S12)/Datos!S12,(Datos!I12+Datos!Y12-(Datos!S12+Datos!AG12))/(Datos!S12+Datos!AG12))," - ")</f>
        <v xml:space="preserve"> - </v>
      </c>
      <c r="C12" s="515" t="str">
        <f>IF(ISNUMBER(
   IF(J_V="SI",(Datos!J12-Datos!T12)/Datos!T12,(Datos!J12+Datos!Z12-(Datos!T12+Datos!AH12))/(Datos!T12+Datos!AH12))
     ),IF(J_V="SI",(Datos!J12-Datos!T12)/Datos!T12,(Datos!J12+Datos!Z12-(Datos!T12+Datos!AH12))/(Datos!T12+Datos!AH12))," - ")</f>
        <v xml:space="preserve"> - </v>
      </c>
      <c r="D12" s="515" t="str">
        <f>IF(ISNUMBER(
   IF(J_V="SI",(Datos!K12-Datos!U12)/Datos!U12,(Datos!K12+Datos!AA12-(Datos!U12+Datos!AI12))/(Datos!U12+Datos!AI12))
     ),IF(J_V="SI",(Datos!K12-Datos!U12)/Datos!U12,(Datos!K12+Datos!AA12-(Datos!U12+Datos!AI12))/(Datos!U12+Datos!AI12))," - ")</f>
        <v xml:space="preserve"> - </v>
      </c>
      <c r="E12" s="515" t="str">
        <f>IF(ISNUMBER(
   IF(J_V="SI",(Datos!L12-Datos!V12)/Datos!V12,(Datos!L12+Datos!AB12-(Datos!V12+Datos!AJ12))/(Datos!V12+Datos!AJ12))
     ),IF(J_V="SI",(Datos!L12-Datos!V12)/Datos!V12,(Datos!L12+Datos!AB12-(Datos!V12+Datos!AJ12))/(Datos!V12+Datos!AJ12))," - ")</f>
        <v xml:space="preserve"> - </v>
      </c>
      <c r="F12" s="515" t="str">
        <f>IF(ISNUMBER((Datos!M12-Datos!W12)/Datos!W12),(Datos!M12-Datos!W12)/Datos!W12," - ")</f>
        <v xml:space="preserve"> - </v>
      </c>
      <c r="G12" s="516" t="str">
        <f>IF(ISNUMBER((Datos!N12-Datos!X12)/Datos!X12),(Datos!N12-Datos!X12)/Datos!X12," - ")</f>
        <v xml:space="preserve"> - </v>
      </c>
      <c r="H12" s="514" t="str">
        <f>IF(ISNUMBER(((NºAsuntos!G12/NºAsuntos!E12)-Datos!BD12)/Datos!BD12),((NºAsuntos!G12/NºAsuntos!E12)-Datos!BD12)/Datos!BD12," - ")</f>
        <v xml:space="preserve"> - </v>
      </c>
      <c r="I12" s="515" t="str">
        <f>IF(ISNUMBER(((NºAsuntos!I12/NºAsuntos!G12)-Datos!BE12)/Datos!BE12),((NºAsuntos!I12/NºAsuntos!G12)-Datos!BE12)/Datos!BE12," - ")</f>
        <v xml:space="preserve"> - </v>
      </c>
      <c r="J12" s="521" t="str">
        <f>IF(ISNUMBER((('Resol  Asuntos'!D12/NºAsuntos!G12)-Datos!BF12)/Datos!BF12),(('Resol  Asuntos'!D12/NºAsuntos!G12)-Datos!BF12)/Datos!BF12," - ")</f>
        <v xml:space="preserve"> - </v>
      </c>
      <c r="K12" s="522" t="str">
        <f>IF(ISNUMBER((((NºAsuntos!C12+NºAsuntos!E12)/NºAsuntos!G12)-Datos!BG12)/Datos!BG12),(((NºAsuntos!C12+NºAsuntos!E12)/NºAsuntos!G12)-Datos!BG12)/Datos!BG12," - ")</f>
        <v xml:space="preserve"> - </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-5.0142287990893569E-2</v>
      </c>
      <c r="C14" s="1152">
        <f>IF(ISNUMBER(
   IF(J_V="SI",(Datos!J14-Datos!T14)/Datos!T14,(Datos!J14+Datos!Z14-(Datos!T14+Datos!AH14))/(Datos!T14+Datos!AH14))
     ),IF(J_V="SI",(Datos!J14-Datos!T14)/Datos!T14,(Datos!J14+Datos!Z14-(Datos!T14+Datos!AH14))/(Datos!T14+Datos!AH14))," - ")</f>
        <v>0.28342575477510784</v>
      </c>
      <c r="D14" s="1152">
        <f>IF(ISNUMBER(
   IF(J_V="SI",(Datos!K14-Datos!U14)/Datos!U14,(Datos!K14+Datos!AA14-(Datos!U14+Datos!AI14))/(Datos!U14+Datos!AI14))
     ),IF(J_V="SI",(Datos!K14-Datos!U14)/Datos!U14,(Datos!K14+Datos!AA14-(Datos!U14+Datos!AI14))/(Datos!U14+Datos!AI14))," - ")</f>
        <v>2.2168192219679635E-2</v>
      </c>
      <c r="E14" s="1152">
        <f>IF(ISNUMBER(
   IF(J_V="SI",(Datos!L14-Datos!V14)/Datos!V14,(Datos!L14+Datos!AB14-(Datos!V14+Datos!AJ14))/(Datos!V14+Datos!AJ14))
     ),IF(J_V="SI",(Datos!L14-Datos!V14)/Datos!V14,(Datos!L14+Datos!AB14-(Datos!V14+Datos!AJ14))/(Datos!V14+Datos!AJ14))," - ")</f>
        <v>4.8333235690432949E-2</v>
      </c>
      <c r="F14" s="1153">
        <f>IF(ISNUMBER((Datos!M14-Datos!W14)/Datos!W14),(Datos!M14-Datos!W14)/Datos!W14," - ")</f>
        <v>-0.14354778728151729</v>
      </c>
      <c r="G14" s="1154">
        <f>IF(ISNUMBER((Datos!N14-Datos!X14)/Datos!X14),(Datos!N14-Datos!X14)/Datos!X14," - ")</f>
        <v>0.15331010452961671</v>
      </c>
      <c r="H14" s="1154">
        <f>IF(ISNUMBER(((NºAsuntos!G14/NºAsuntos!E14)-Datos!BD14)/Datos!BD14),((NºAsuntos!G14/NºAsuntos!E14)-Datos!BD14)/Datos!BD14," - ")</f>
        <v>-0.20356266155903022</v>
      </c>
      <c r="I14" s="1154">
        <f>IF(ISNUMBER(((NºAsuntos!I14/NºAsuntos!G14)-Datos!BE14)/Datos!BE14),((NºAsuntos!I14/NºAsuntos!G14)-Datos!BE14)/Datos!BE14," - ")</f>
        <v>2.5597591149784132E-2</v>
      </c>
      <c r="J14" s="1154">
        <f>IF(ISNUMBER((('Resol  Asuntos'!D14/NºAsuntos!G14)-Datos!BF14)/Datos!BF14),(('Resol  Asuntos'!D14/NºAsuntos!G14)-Datos!BF14)/Datos!BF14," - ")</f>
        <v>0.11426996476563873</v>
      </c>
      <c r="K14" s="1154">
        <f>IF(ISNUMBER((((NºAsuntos!C14+NºAsuntos!E14)/NºAsuntos!G14)-Datos!BG14)/Datos!BG14),(((NºAsuntos!C14+NºAsuntos!E14)/NºAsuntos!G14)-Datos!BG14)/Datos!BG14," - ")</f>
        <v>1.730359204395221E-2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f>IF(ISNUMBER(
   IF(D_I="SI",(Datos!I16-Datos!S16)/Datos!S16,(Datos!I16+Datos!AC16-(Datos!S16+Datos!AK16))/(Datos!S16+Datos!AK16))
     ),IF(D_I="SI",(Datos!I16-Datos!S16)/Datos!S16,(Datos!I16+Datos!AC16-(Datos!S16+Datos!AK16))/(Datos!S16+Datos!AK16))," - ")</f>
        <v>-1.0109890109890111E-2</v>
      </c>
      <c r="C16" s="515">
        <f>IF(ISNUMBER(
   IF(D_I="SI",(Datos!J16-Datos!T16)/Datos!T16,(Datos!J16+Datos!AD16-(Datos!T16+Datos!AL16))/(Datos!T16+Datos!AL16))
     ),IF(D_I="SI",(Datos!J16-Datos!T16)/Datos!T16,(Datos!J16+Datos!AD16-(Datos!T16+Datos!AL16))/(Datos!T16+Datos!AL16))," - ")</f>
        <v>0.12135922330097088</v>
      </c>
      <c r="D16" s="515">
        <f>IF(ISNUMBER(
   IF(D_I="SI",(Datos!K16-Datos!U16)/Datos!U16,(Datos!K16+Datos!AE16-(Datos!U16+Datos!AM16))/(Datos!U16+Datos!AM16))
     ),IF(D_I="SI",(Datos!K16-Datos!U16)/Datos!U16,(Datos!K16+Datos!AE16-(Datos!U16+Datos!AM16))/(Datos!U16+Datos!AM16))," - ")</f>
        <v>0.11550403643138067</v>
      </c>
      <c r="E16" s="515">
        <f>IF(ISNUMBER(
   IF(D_I="SI",(Datos!L16-Datos!V16)/Datos!V16,(Datos!L16+Datos!AF16-(Datos!V16+Datos!AN16))/(Datos!V16+Datos!AN16))
     ),IF(D_I="SI",(Datos!L16-Datos!V16)/Datos!V16,(Datos!L16+Datos!AF16-(Datos!V16+Datos!AN16))/(Datos!V16+Datos!AN16))," - ")</f>
        <v>1.3873349742671738E-2</v>
      </c>
      <c r="F16" s="515">
        <f>IF(ISNUMBER((Datos!M16-Datos!W16)/Datos!W16),(Datos!M16-Datos!W16)/Datos!W16," - ")</f>
        <v>1.9349164467897976E-2</v>
      </c>
      <c r="G16" s="516">
        <f>IF(ISNUMBER((Datos!N16-Datos!X16)/Datos!X16),(Datos!N16-Datos!X16)/Datos!X16," - ")</f>
        <v>0.18001841620626152</v>
      </c>
      <c r="H16" s="514">
        <f>IF(ISNUMBER(((NºAsuntos!G16/NºAsuntos!E16)-Datos!BD16)/Datos!BD16),((NºAsuntos!G16/NºAsuntos!E16)-Datos!BD16)/Datos!BD16," - ")</f>
        <v>-5.2215086369505198E-3</v>
      </c>
      <c r="I16" s="515">
        <f>IF(ISNUMBER(((NºAsuntos!I16/NºAsuntos!G16)-Datos!BE16)/Datos!BE16),((NºAsuntos!I16/NºAsuntos!G16)-Datos!BE16)/Datos!BE16," - ")</f>
        <v>-9.1107412765476542E-2</v>
      </c>
      <c r="J16" s="521">
        <f>IF(ISNUMBER((('Resol  Asuntos'!D16/NºAsuntos!G16)-Datos!BF16)/Datos!BF16),(('Resol  Asuntos'!D16/NºAsuntos!G16)-Datos!BF16)/Datos!BF16," - ")</f>
        <v>-8.6198587206454819E-2</v>
      </c>
      <c r="K16" s="522">
        <f>IF(ISNUMBER((((NºAsuntos!C16+NºAsuntos!E16)/NºAsuntos!G16)-Datos!BG16)/Datos!BG16),(((NºAsuntos!C16+NºAsuntos!E16)/NºAsuntos!G16)-Datos!BG16)/Datos!BG16," - ")</f>
        <v>-5.3795997123014562E-2</v>
      </c>
    </row>
    <row r="17" spans="1:11">
      <c r="A17" s="450" t="str">
        <f>Datos!A17</f>
        <v xml:space="preserve">Jdos. 1ª Instª. e Instr.                        </v>
      </c>
      <c r="B17" s="514" t="str">
        <f>IF(ISNUMBER(
   IF(D_I="SI",(Datos!I17-Datos!S17)/Datos!S17,(Datos!I17+Datos!AC17-(Datos!S17+Datos!AK17))/(Datos!S17+Datos!AK17))
     ),IF(D_I="SI",(Datos!I17-Datos!S17)/Datos!S17,(Datos!I17+Datos!AC17-(Datos!S17+Datos!AK17))/(Datos!S17+Datos!AK17))," - ")</f>
        <v xml:space="preserve"> - </v>
      </c>
      <c r="C17" s="515" t="str">
        <f>IF(ISNUMBER(
   IF(D_I="SI",(Datos!J17-Datos!T17)/Datos!T17,(Datos!J17+Datos!AD17-(Datos!T17+Datos!AL17))/(Datos!T17+Datos!AL17))
     ),IF(D_I="SI",(Datos!J17-Datos!T17)/Datos!T17,(Datos!J17+Datos!AD17-(Datos!T17+Datos!AL17))/(Datos!T17+Datos!AL17))," - ")</f>
        <v xml:space="preserve"> - </v>
      </c>
      <c r="D17" s="515" t="str">
        <f>IF(ISNUMBER(
   IF(D_I="SI",(Datos!K17-Datos!U17)/Datos!U17,(Datos!K17+Datos!AE17-(Datos!U17+Datos!AM17))/(Datos!U17+Datos!AM17))
     ),IF(D_I="SI",(Datos!K17-Datos!U17)/Datos!U17,(Datos!K17+Datos!AE17-(Datos!U17+Datos!AM17))/(Datos!U17+Datos!AM17))," - ")</f>
        <v xml:space="preserve"> - </v>
      </c>
      <c r="E17" s="515" t="str">
        <f>IF(ISNUMBER(
   IF(D_I="SI",(Datos!L17-Datos!V17)/Datos!V17,(Datos!L17+Datos!AF17-(Datos!V17+Datos!AN17))/(Datos!V17+Datos!AN17))
     ),IF(D_I="SI",(Datos!L17-Datos!V17)/Datos!V17,(Datos!L17+Datos!AF17-(Datos!V17+Datos!AN17))/(Datos!V17+Datos!AN17))," - ")</f>
        <v xml:space="preserve"> - </v>
      </c>
      <c r="F17" s="515" t="str">
        <f>IF(ISNUMBER((Datos!M17-Datos!W17)/Datos!W17),(Datos!M17-Datos!W17)/Datos!W17," - ")</f>
        <v xml:space="preserve"> - </v>
      </c>
      <c r="G17" s="516" t="str">
        <f>IF(ISNUMBER((Datos!N17-Datos!X17)/Datos!X17),(Datos!N17-Datos!X17)/Datos!X17," - ")</f>
        <v xml:space="preserve"> - </v>
      </c>
      <c r="H17" s="514" t="str">
        <f>IF(ISNUMBER(((NºAsuntos!G17/NºAsuntos!E17)-Datos!BD17)/Datos!BD17),((NºAsuntos!G17/NºAsuntos!E17)-Datos!BD17)/Datos!BD17," - ")</f>
        <v xml:space="preserve"> - </v>
      </c>
      <c r="I17" s="515" t="str">
        <f>IF(ISNUMBER(((NºAsuntos!I17/NºAsuntos!G17)-Datos!BE17)/Datos!BE17),((NºAsuntos!I17/NºAsuntos!G17)-Datos!BE17)/Datos!BE17," - ")</f>
        <v xml:space="preserve"> - </v>
      </c>
      <c r="J17" s="521" t="str">
        <f>IF(ISNUMBER((('Resol  Asuntos'!D17/NºAsuntos!G17)-Datos!BF17)/Datos!BF17),(('Resol  Asuntos'!D17/NºAsuntos!G17)-Datos!BF17)/Datos!BF17," - ")</f>
        <v xml:space="preserve"> - </v>
      </c>
      <c r="K17" s="522" t="str">
        <f>IF(ISNUMBER((((NºAsuntos!C17+NºAsuntos!E17)/NºAsuntos!G17)-Datos!BG17)/Datos!BG17),(((NºAsuntos!C17+NºAsuntos!E17)/NºAsuntos!G17)-Datos!BG17)/Datos!BG17," - ")</f>
        <v xml:space="preserve"> - </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4.1811846689895474E-2</v>
      </c>
      <c r="C18" s="515">
        <f>IF(ISNUMBER(
   IF(D_I="SI",(Datos!J18-Datos!T18)/Datos!T18,(Datos!J18+Datos!AD18-(Datos!T18+Datos!AL18))/(Datos!T18+Datos!AL18))
     ),IF(D_I="SI",(Datos!J18-Datos!T18)/Datos!T18,(Datos!J18+Datos!AD18-(Datos!T18+Datos!AL18))/(Datos!T18+Datos!AL18))," - ")</f>
        <v>0.13611615245009073</v>
      </c>
      <c r="D18" s="515">
        <f>IF(ISNUMBER(
   IF(D_I="SI",(Datos!K18-Datos!U18)/Datos!U18,(Datos!K18+Datos!AE18-(Datos!U18+Datos!AM18))/(Datos!U18+Datos!AM18))
     ),IF(D_I="SI",(Datos!K18-Datos!U18)/Datos!U18,(Datos!K18+Datos!AE18-(Datos!U18+Datos!AM18))/(Datos!U18+Datos!AM18))," - ")</f>
        <v>0.23633156966490299</v>
      </c>
      <c r="E18" s="515">
        <f>IF(ISNUMBER(
   IF(D_I="SI",(Datos!L18-Datos!V18)/Datos!V18,(Datos!L18+Datos!AF18-(Datos!V18+Datos!AN18))/(Datos!V18+Datos!AN18))
     ),IF(D_I="SI",(Datos!L18-Datos!V18)/Datos!V18,(Datos!L18+Datos!AF18-(Datos!V18+Datos!AN18))/(Datos!V18+Datos!AN18))," - ")</f>
        <v>-5.6737588652482268E-2</v>
      </c>
      <c r="F18" s="515">
        <f>IF(ISNUMBER((Datos!M18-Datos!W18)/Datos!W18),(Datos!M18-Datos!W18)/Datos!W18," - ")</f>
        <v>0.23456790123456789</v>
      </c>
      <c r="G18" s="516">
        <f>IF(ISNUMBER((Datos!N18-Datos!X18)/Datos!X18),(Datos!N18-Datos!X18)/Datos!X18," - ")</f>
        <v>0.1299638989169675</v>
      </c>
      <c r="H18" s="514">
        <f>IF(ISNUMBER(((NºAsuntos!G18/NºAsuntos!E18)-Datos!BD18)/Datos!BD18),((NºAsuntos!G18/NºAsuntos!E18)-Datos!BD18)/Datos!BD18," - ")</f>
        <v>8.8208777772143185E-2</v>
      </c>
      <c r="I18" s="515">
        <f>IF(ISNUMBER(((NºAsuntos!I18/NºAsuntos!G18)-Datos!BE18)/Datos!BE18),((NºAsuntos!I18/NºAsuntos!G18)-Datos!BE18)/Datos!BE18," - ")</f>
        <v>-0.23704737912404764</v>
      </c>
      <c r="J18" s="521">
        <f>IF(ISNUMBER((('Resol  Asuntos'!D18/NºAsuntos!G18)-Datos!BF18)/Datos!BF18),(('Resol  Asuntos'!D18/NºAsuntos!G18)-Datos!BF18)/Datos!BF18," - ")</f>
        <v>-1.426533523537693E-3</v>
      </c>
      <c r="K18" s="522">
        <f>IF(ISNUMBER((((NºAsuntos!C18+NºAsuntos!E18)/NºAsuntos!G18)-Datos!BG18)/Datos!BG18),(((NºAsuntos!C18+NºAsuntos!E18)/NºAsuntos!G18)-Datos!BG18)/Datos!BG18," - ")</f>
        <v>-0.11997717546362342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-4.2935206869633103E-3</v>
      </c>
      <c r="C23" s="1152">
        <f>IF(ISNUMBER(
   IF(Criterios!B14="SI",(Datos!J23-Datos!T23)/Datos!T23,(Datos!J23+Datos!AD23-(Datos!T23+Datos!AL23))/(Datos!T23+Datos!AL23))
     ),IF(Criterios!B14="SI",(Datos!J23-Datos!T23)/Datos!T23,(Datos!J23+Datos!AD23-(Datos!T23+Datos!AL23))/(Datos!T23+Datos!AL23))," - ")</f>
        <v>0.12295888254967539</v>
      </c>
      <c r="D23" s="1152">
        <f>IF(ISNUMBER(
   IF(Criterios!B14="SI",(Datos!K23-Datos!U23)/Datos!U23,(Datos!K23+Datos!AE23-(Datos!U23+Datos!AM23))/(Datos!U23+Datos!AM23))
     ),IF(Criterios!B14="SI",(Datos!K23-Datos!U23)/Datos!U23,(Datos!K23+Datos!AE23-(Datos!U23+Datos!AM23))/(Datos!U23+Datos!AM23))," - ")</f>
        <v>0.12819562801037421</v>
      </c>
      <c r="E23" s="1152">
        <f>IF(ISNUMBER(
   IF(Criterios!B14="SI",(Datos!L23-Datos!V23)/Datos!V23,(Datos!L23+Datos!AF23-(Datos!V23+Datos!AN23))/(Datos!V23+Datos!AN23))
     ),IF(Criterios!B14="SI",(Datos!L23-Datos!V23)/Datos!V23,(Datos!L23+Datos!AF23-(Datos!V23+Datos!AN23))/(Datos!V23+Datos!AN23))," - ")</f>
        <v>5.9606596463341946E-3</v>
      </c>
      <c r="F23" s="1153">
        <f>IF(ISNUMBER((Datos!M23-Datos!W23)/Datos!W23),(Datos!M23-Datos!W23)/Datos!W23," - ")</f>
        <v>3.3661740558292283E-2</v>
      </c>
      <c r="G23" s="1154">
        <f>IF(ISNUMBER((Datos!N23-Datos!X23)/Datos!X23),(Datos!N23-Datos!X23)/Datos!X23," - ")</f>
        <v>0.17435688035933034</v>
      </c>
      <c r="H23" s="1154">
        <f>IF(ISNUMBER(((NºAsuntos!G23/NºAsuntos!E23)-Datos!BD23)/Datos!BD23),((NºAsuntos!G23/NºAsuntos!E23)-Datos!BD23)/Datos!BD23," - ")</f>
        <v>4.6633456861827826E-3</v>
      </c>
      <c r="I23" s="1154">
        <f>IF(ISNUMBER(((NºAsuntos!I23/NºAsuntos!G23)-Datos!BE23)/Datos!BE23),((NºAsuntos!I23/NºAsuntos!G23)-Datos!BE23)/Datos!BE23," - ")</f>
        <v>-0.1083455433873708</v>
      </c>
      <c r="J23" s="1154">
        <f>IF(ISNUMBER((('Resol  Asuntos'!D23/NºAsuntos!G23)-Datos!BF23)/Datos!BF23),(('Resol  Asuntos'!D23/NºAsuntos!G23)-Datos!BF23)/Datos!BF23," - ")</f>
        <v>-8.3792105823700877E-2</v>
      </c>
      <c r="K23" s="1154">
        <f>IF(ISNUMBER((((NºAsuntos!C23+NºAsuntos!E23)/NºAsuntos!G23)-Datos!BG23)/Datos!BG23),(((NºAsuntos!C23+NºAsuntos!E23)/NºAsuntos!G23)-Datos!BG23)/Datos!BG23," - ")</f>
        <v>-6.1264662214652578E-2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-3.9790252930289947E-2</v>
      </c>
      <c r="C31" s="1092">
        <f>IF(ISNUMBER(
   IF(J_V="SI",(Datos!J31-Datos!T31)/Datos!T31,(Datos!J31+Datos!Z31-(Datos!T31+Datos!AH31))/(Datos!T31+Datos!AH31))
     ),IF(J_V="SI",(Datos!J31-Datos!T31)/Datos!T31,(Datos!J31+Datos!Z31-(Datos!T31+Datos!AH31))/(Datos!T31+Datos!AH31))," - ")</f>
        <v>0.21295896328293737</v>
      </c>
      <c r="D31" s="1092">
        <f>IF(ISNUMBER(
   IF(J_V="SI",(Datos!K31-Datos!U31)/Datos!U31,(Datos!K31+Datos!AA31-(Datos!U31+Datos!AI31))/(Datos!U31+Datos!AI31))
     ),IF(J_V="SI",(Datos!K31-Datos!U31)/Datos!U31,(Datos!K31+Datos!AA31-(Datos!U31+Datos!AI31))/(Datos!U31+Datos!AI31))," - ")</f>
        <v>6.8361581920903955E-2</v>
      </c>
      <c r="E31" s="1092">
        <f>IF(ISNUMBER(
   IF(J_V="SI",(Datos!L31-Datos!V31)/Datos!V31,(Datos!L31+Datos!AB31-(Datos!V31+Datos!AJ31))/(Datos!V31+Datos!AJ31))
     ),IF(J_V="SI",(Datos!L31-Datos!V31)/Datos!V31,(Datos!L31+Datos!AB31-(Datos!V31+Datos!AJ31))/(Datos!V31+Datos!AJ31))," - ")</f>
        <v>3.8684281965432991E-2</v>
      </c>
      <c r="F31" s="1093">
        <f>IF(ISNUMBER((Datos!M31-Datos!W31)/Datos!W31),(Datos!M31-Datos!W31)/Datos!W31," - ")</f>
        <v>-8.8303045815203485E-2</v>
      </c>
      <c r="G31" s="1094">
        <f>IF(ISNUMBER((Datos!N31-Datos!X31)/Datos!X31),(Datos!N31-Datos!X31)/Datos!X31," - ")</f>
        <v>0.16487213997308209</v>
      </c>
      <c r="H31" s="1095">
        <f>IF(ISNUMBER((Tasas!B31-Datos!BD31)/Datos!BD31),(Tasas!B31-Datos!BD31)/Datos!BD31," - ")</f>
        <v>-0.11921044795338583</v>
      </c>
      <c r="I31" s="1096">
        <f>IF(ISNUMBER((Tasas!C31-Datos!BE31)/Datos!BE31),(Tasas!C31-Datos!BE31)/Datos!BE31," - ")</f>
        <v>-2.7778329413634947E-2</v>
      </c>
      <c r="J31" s="1097">
        <f>IF(ISNUMBER((Tasas!D31-Datos!BF31)/Datos!BF31),(Tasas!D31-Datos!BF31)/Datos!BF31," - ")</f>
        <v>2.9036175255107006E-2</v>
      </c>
      <c r="K31" s="1097">
        <f>IF(ISNUMBER((Tasas!E31-Datos!BG31)/Datos!BG31),(Tasas!E31-Datos!BG31)/Datos!BG31," - ")</f>
        <v>-2.1323331401160144E-2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AiuM5LHHlce+uCpJ3F9gSRsp1keIf/OsAFju1RrIooJU3eNrhVwp6JhMZQUPHS6IQTmM0BByweiJTsPQqa6dfg==" saltValue="F/dFJbTkuaODXWqSEXcWQg=="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PAIS VASCO</v>
      </c>
    </row>
    <row r="3" spans="1:7" ht="19.5">
      <c r="A3" s="491" t="s">
        <v>17</v>
      </c>
      <c r="B3" s="439" t="str">
        <f>Criterios!A10 &amp;"  "&amp;Criterios!B10</f>
        <v>Provincias  BIZKAIA</v>
      </c>
    </row>
    <row r="4" spans="1:7" ht="11.25" customHeight="1" thickBot="1">
      <c r="B4" s="439" t="str">
        <f>Criterios!A11 &amp;"  "&amp;Criterios!B11</f>
        <v>Resumenes por Partidos Judiciales  BILBAO</v>
      </c>
    </row>
    <row r="5" spans="1:7" ht="12.75" customHeight="1">
      <c r="A5" s="1591" t="str">
        <f>"Año:  " &amp;Criterios!B5 &amp; "    Trimestre   " &amp;Criterios!D5 &amp; " al " &amp;Criterios!D6</f>
        <v>Año:  2022    Trimestre   4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f>IF(ISNUMBER(NºAsuntos!G9/NºAsuntos!E9),NºAsuntos!G9/NºAsuntos!E9," - ")</f>
        <v>0.84813114754098362</v>
      </c>
      <c r="C9" s="498">
        <f>IF(ISNUMBER(NºAsuntos!I9/NºAsuntos!G9),NºAsuntos!I9/NºAsuntos!G9," - ")</f>
        <v>2.5489407762486471</v>
      </c>
      <c r="D9" s="499">
        <f>IF(ISNUMBER('Resol  Asuntos'!D9/NºAsuntos!G9),'Resol  Asuntos'!D9/NºAsuntos!G9," - ")</f>
        <v>0.31606618215555898</v>
      </c>
      <c r="E9" s="500">
        <f>IF(ISNUMBER((NºAsuntos!C9+NºAsuntos!E9)/NºAsuntos!G9),(NºAsuntos!C9+NºAsuntos!E9)/NºAsuntos!G9," - ")</f>
        <v>3.5489407762486471</v>
      </c>
      <c r="G9" s="523"/>
    </row>
    <row r="10" spans="1:7">
      <c r="A10" s="450" t="str">
        <f>Datos!A10</f>
        <v>Jdos. Violencia contra la mujer</v>
      </c>
      <c r="B10" s="497">
        <f>IF(ISNUMBER(NºAsuntos!G10/NºAsuntos!E10),NºAsuntos!G10/NºAsuntos!E10," - ")</f>
        <v>0.69852941176470584</v>
      </c>
      <c r="C10" s="498">
        <f>IF(ISNUMBER(NºAsuntos!I10/NºAsuntos!G10),NºAsuntos!I10/NºAsuntos!G10," - ")</f>
        <v>3.2105263157894739</v>
      </c>
      <c r="D10" s="499">
        <f>IF(ISNUMBER('Resol  Asuntos'!D10/NºAsuntos!G10),'Resol  Asuntos'!D10/NºAsuntos!G10," - ")</f>
        <v>0.37894736842105264</v>
      </c>
      <c r="E10" s="500">
        <f>IF(ISNUMBER((NºAsuntos!C10+NºAsuntos!E10)/NºAsuntos!G10),(NºAsuntos!C10+NºAsuntos!E10)/NºAsuntos!G10," - ")</f>
        <v>4.2105263157894735</v>
      </c>
      <c r="G10" s="523"/>
    </row>
    <row r="11" spans="1:7">
      <c r="A11" s="450" t="str">
        <f>Datos!A11</f>
        <v xml:space="preserve">Jdos. Familia                                   </v>
      </c>
      <c r="B11" s="497">
        <f>IF(ISNUMBER(NºAsuntos!G11/NºAsuntos!E11),NºAsuntos!G11/NºAsuntos!E11," - ")</f>
        <v>1.0245183887915936</v>
      </c>
      <c r="C11" s="498">
        <f>IF(ISNUMBER(NºAsuntos!I11/NºAsuntos!G11),NºAsuntos!I11/NºAsuntos!G11," - ")</f>
        <v>1.8888888888888888</v>
      </c>
      <c r="D11" s="499">
        <f>IF(ISNUMBER('Resol  Asuntos'!D11/NºAsuntos!G11),'Resol  Asuntos'!D11/NºAsuntos!G11," - ")</f>
        <v>0.38119658119658117</v>
      </c>
      <c r="E11" s="500">
        <f>IF(ISNUMBER((NºAsuntos!C11+NºAsuntos!E11)/NºAsuntos!G11),(NºAsuntos!C11+NºAsuntos!E11)/NºAsuntos!G11," - ")</f>
        <v>2.8547008547008548</v>
      </c>
      <c r="G11" s="523"/>
    </row>
    <row r="12" spans="1:7">
      <c r="A12" s="450" t="str">
        <f>Datos!A12</f>
        <v xml:space="preserve">Jdos. 1ª Instª. e Instr.                        </v>
      </c>
      <c r="B12" s="497" t="str">
        <f>IF(ISNUMBER(NºAsuntos!G12/NºAsuntos!E12),NºAsuntos!G12/NºAsuntos!E12," - ")</f>
        <v xml:space="preserve"> - </v>
      </c>
      <c r="C12" s="498" t="str">
        <f>IF(ISNUMBER(NºAsuntos!I12/NºAsuntos!G12),NºAsuntos!I12/NºAsuntos!G12," - ")</f>
        <v xml:space="preserve"> - </v>
      </c>
      <c r="D12" s="499" t="str">
        <f>IF(ISNUMBER('Resol  Asuntos'!D12/NºAsuntos!G12),'Resol  Asuntos'!D12/NºAsuntos!G12," - ")</f>
        <v xml:space="preserve"> - </v>
      </c>
      <c r="E12" s="500" t="str">
        <f>IF(ISNUMBER((NºAsuntos!C12+NºAsuntos!E12)/NºAsuntos!G12),(NºAsuntos!C12+NºAsuntos!E12)/NºAsuntos!G12," - ")</f>
        <v xml:space="preserve"> - </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0.85777724435909741</v>
      </c>
      <c r="C14" s="1156">
        <f>IF(ISNUMBER(NºAsuntos!I14/NºAsuntos!G14),NºAsuntos!I14/NºAsuntos!G14," - ")</f>
        <v>2.5037078494473204</v>
      </c>
      <c r="D14" s="1157">
        <f>IF(ISNUMBER('Resol  Asuntos'!D14/NºAsuntos!G14),'Resol  Asuntos'!D14/NºAsuntos!G14," - ")</f>
        <v>0.32223310479921646</v>
      </c>
      <c r="E14" s="1158">
        <f>IF(ISNUMBER((NºAsuntos!C14+NºAsuntos!E14)/NºAsuntos!G14),(NºAsuntos!C14+NºAsuntos!E14)/NºAsuntos!G14," - ")</f>
        <v>3.5009094725059464</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f>IF(ISNUMBER(NºAsuntos!G16/NºAsuntos!E16),NºAsuntos!G16/NºAsuntos!E16," - ")</f>
        <v>1.060409287682015</v>
      </c>
      <c r="C16" s="498">
        <f>IF(ISNUMBER(NºAsuntos!I16/NºAsuntos!G16),NºAsuntos!I16/NºAsuntos!G16," - ")</f>
        <v>0.84078678790128036</v>
      </c>
      <c r="D16" s="499">
        <f>IF(ISNUMBER('Resol  Asuntos'!D16/NºAsuntos!G16),'Resol  Asuntos'!D16/NºAsuntos!G16," - ")</f>
        <v>0.21506773056225645</v>
      </c>
      <c r="E16" s="500">
        <f>IF(ISNUMBER((NºAsuntos!C16+NºAsuntos!E16)/NºAsuntos!G16),(NºAsuntos!C16+NºAsuntos!E16)/NºAsuntos!G16," - ")</f>
        <v>1.7788086843570237</v>
      </c>
      <c r="G16" s="523"/>
    </row>
    <row r="17" spans="1:7">
      <c r="A17" s="450" t="str">
        <f>Datos!A17</f>
        <v xml:space="preserve">Jdos. 1ª Instª. e Instr.                        </v>
      </c>
      <c r="B17" s="497" t="str">
        <f>IF(ISNUMBER(NºAsuntos!G17/NºAsuntos!E17),NºAsuntos!G17/NºAsuntos!E17," - ")</f>
        <v xml:space="preserve"> - </v>
      </c>
      <c r="C17" s="498" t="str">
        <f>IF(ISNUMBER(NºAsuntos!I17/NºAsuntos!G17),NºAsuntos!I17/NºAsuntos!G17," - ")</f>
        <v xml:space="preserve"> - </v>
      </c>
      <c r="D17" s="499" t="str">
        <f>IF(ISNUMBER('Resol  Asuntos'!D17/NºAsuntos!G17),'Resol  Asuntos'!D17/NºAsuntos!G17," - ")</f>
        <v xml:space="preserve"> - </v>
      </c>
      <c r="E17" s="500" t="str">
        <f>IF(ISNUMBER((NºAsuntos!C17+NºAsuntos!E17)/NºAsuntos!G17),(NºAsuntos!C17+NºAsuntos!E17)/NºAsuntos!G17," - ")</f>
        <v xml:space="preserve"> - </v>
      </c>
      <c r="G17" s="523"/>
    </row>
    <row r="18" spans="1:7">
      <c r="A18" s="450" t="str">
        <f>Datos!A18</f>
        <v>Jdos. Violencia contra la mujer</v>
      </c>
      <c r="B18" s="497">
        <f>IF(ISNUMBER(NºAsuntos!G18/NºAsuntos!E18),NºAsuntos!G18/NºAsuntos!E18," - ")</f>
        <v>1.1198083067092652</v>
      </c>
      <c r="C18" s="498">
        <f>IF(ISNUMBER(NºAsuntos!I18/NºAsuntos!G18),NºAsuntos!I18/NºAsuntos!G18," - ")</f>
        <v>0.75891583452211131</v>
      </c>
      <c r="D18" s="499">
        <f>IF(ISNUMBER('Resol  Asuntos'!D18/NºAsuntos!G18),'Resol  Asuntos'!D18/NºAsuntos!G18," - ")</f>
        <v>0.14265335235378032</v>
      </c>
      <c r="E18" s="500">
        <f>IF(ISNUMBER((NºAsuntos!C18+NºAsuntos!E18)/NºAsuntos!G18),(NºAsuntos!C18+NºAsuntos!E18)/NºAsuntos!G18," - ")</f>
        <v>1.746077032810271</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1.0669236159775752</v>
      </c>
      <c r="C23" s="1156">
        <f>IF(ISNUMBER(NºAsuntos!I23/NºAsuntos!G23),NºAsuntos!I23/NºAsuntos!G23," - ")</f>
        <v>0.83136288998357966</v>
      </c>
      <c r="D23" s="1159">
        <f>IF(ISNUMBER('Resol  Asuntos'!D23/NºAsuntos!G23),'Resol  Asuntos'!D23/NºAsuntos!G23," - ")</f>
        <v>0.20673234811165844</v>
      </c>
      <c r="E23" s="1158">
        <f>IF(ISNUMBER((NºAsuntos!C23+NºAsuntos!E23)/NºAsuntos!G23),(NºAsuntos!C23+NºAsuntos!E23)/NºAsuntos!G23," - ")</f>
        <v>1.7750410509031198</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0.94280626780626786</v>
      </c>
      <c r="C31" s="1099">
        <f>IF(ISNUMBER(NºAsuntos!I31/NºAsuntos!G31),NºAsuntos!I31/NºAsuntos!G31," - ")</f>
        <v>1.7343053561985344</v>
      </c>
      <c r="D31" s="1100">
        <f>IF(ISNUMBER('Resol  Asuntos'!D31/NºAsuntos!G31),'Resol  Asuntos'!D31/NºAsuntos!G31," - ")</f>
        <v>0.26909420563571806</v>
      </c>
      <c r="E31" s="1101">
        <f>IF(ISNUMBER((NºAsuntos!C31+NºAsuntos!E31)/NºAsuntos!G31),(NºAsuntos!C31+NºAsuntos!E31)/NºAsuntos!G31," - ")</f>
        <v>2.7068822240688979</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yVGn2/9FVbluXHY90wcQuurgl8i26qzKoOO7CaE8SyXgD9OULmiwUjeUuE3Sf1ozDkxPX0bCOO0KQ0Ij9l304A==" saltValue="6GNIYn1WexBinyQzZZG1Gw=="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PAIS VASCO</v>
      </c>
      <c r="G2" s="369"/>
      <c r="H2" s="368"/>
      <c r="I2" s="368"/>
      <c r="J2" s="368"/>
      <c r="K2" s="368"/>
      <c r="L2" s="368" t="str">
        <f>Criterios!A10 &amp;"  "&amp;Criterios!B10</f>
        <v>Provincias  BIZKAIA</v>
      </c>
      <c r="N2" s="368" t="str">
        <f>Criterios!A11 &amp;"  "&amp;Criterios!B11</f>
        <v>Resumenes por Partidos Judiciales  BILBAO</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4 al 4</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13</v>
      </c>
      <c r="B9" s="190" t="s">
        <v>321</v>
      </c>
      <c r="C9" s="173" t="str">
        <f>Datos!A9</f>
        <v xml:space="preserve">Jdos. 1ª Instancia   </v>
      </c>
      <c r="D9" s="173"/>
      <c r="E9" s="1402">
        <f>IF(ISNUMBER(Datos!AQ9),Datos!AQ9," - ")</f>
        <v>13</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779</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f>IF(ISNUMBER(Datos!Q9),Datos!Q9," - ")</f>
        <v>845</v>
      </c>
      <c r="Y9" s="374">
        <f>SUM(W9:X9)</f>
        <v>845</v>
      </c>
      <c r="Z9" s="375" t="str">
        <f>IF(ISNUMBER(Datos!CC9),Datos!CC9," - ")</f>
        <v xml:space="preserve"> - </v>
      </c>
      <c r="AA9" s="372" t="str">
        <f>IF(ISNUMBER(IF(J_V="SI",Datos!L9,Datos!L9+Datos!AB9)-IF(Monitorios="SI",Datos!CD9,0)),
                          IF(J_V="SI",Datos!L9,Datos!L9+Datos!AB9)-IF(Monitorios="SI",Datos!CD9,0),
                          " - ")</f>
        <v xml:space="preserve"> - </v>
      </c>
      <c r="AB9" s="374">
        <f>IF(ISNUMBER(Datos!R9),Datos!R9," - ")</f>
        <v>8592</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f>IF(ISNUMBER(Datos!M9),Datos!M9," - ")</f>
        <v>2044</v>
      </c>
      <c r="AJ9" s="243" t="str">
        <f>IF(ISNUMBER(Datos!BW9),Datos!BW9," - ")</f>
        <v xml:space="preserve"> - </v>
      </c>
      <c r="AK9" s="242" t="str">
        <f>IF(ISNUMBER(Datos!BX9),Datos!BX9," - ")</f>
        <v xml:space="preserve"> - </v>
      </c>
      <c r="AL9" s="266">
        <f>IF(ISNUMBER(NºAsuntos!G9/NºAsuntos!E9),NºAsuntos!G9/NºAsuntos!E9," - ")</f>
        <v>0.84813114754098362</v>
      </c>
      <c r="AM9" s="284">
        <f>IF(ISNUMBER(((NºAsuntos!I9/NºAsuntos!G9)*11)/factor_trimestre),((NºAsuntos!I9/NºAsuntos!G9)*11)/factor_trimestre," - ")</f>
        <v>7.6468223287459418</v>
      </c>
      <c r="AN9" s="267">
        <f>IF(ISNUMBER('Resol  Asuntos'!D9/NºAsuntos!G9),'Resol  Asuntos'!D9/NºAsuntos!G9," - ")</f>
        <v>0.31606618215555898</v>
      </c>
      <c r="AO9" s="268">
        <f>IF(ISNUMBER((NºAsuntos!C9+NºAsuntos!E9)/NºAsuntos!G9),(NºAsuntos!C9+NºAsuntos!E9)/NºAsuntos!G9," - ")</f>
        <v>3.5489407762486471</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2</v>
      </c>
      <c r="B10" s="300" t="s">
        <v>321</v>
      </c>
      <c r="C10" s="7" t="str">
        <f>Datos!A10</f>
        <v>Jdos. Violencia contra la mujer</v>
      </c>
      <c r="D10" s="7"/>
      <c r="E10" s="1402">
        <f>IF(ISNUMBER(Datos!AQ10),Datos!AQ10," - ")</f>
        <v>2</v>
      </c>
      <c r="F10" s="239">
        <f>IF(ISNUMBER(Datos!L10+Datos!K10-Datos!J10-K10),Datos!L10+Datos!K10-Datos!J10-K10," - ")</f>
        <v>264</v>
      </c>
      <c r="G10" s="373">
        <f>IF(ISNUMBER(Datos!I10),Datos!I10," - ")</f>
        <v>264</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18</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95</v>
      </c>
      <c r="X10" s="240">
        <f>IF(ISNUMBER(Datos!Q10),Datos!Q10," - ")</f>
        <v>23</v>
      </c>
      <c r="Y10" s="374">
        <f t="shared" ref="Y10:Y13" si="0">SUM(W10:X10)</f>
        <v>118</v>
      </c>
      <c r="Z10" s="375" t="str">
        <f>IF(ISNUMBER(Datos!CC10),Datos!CC10," - ")</f>
        <v xml:space="preserve"> - </v>
      </c>
      <c r="AA10" s="372">
        <f>IF(ISNUMBER(Datos!L10),Datos!L10,"-")</f>
        <v>305</v>
      </c>
      <c r="AB10" s="374">
        <f>IF(ISNUMBER(Datos!R10),Datos!R10," - ")</f>
        <v>203</v>
      </c>
      <c r="AC10" s="374">
        <f t="shared" ref="AC10:AC13" si="1">IF(ISNUMBER(AA10+AB10),AA10+AB10," - ")</f>
        <v>508</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36</v>
      </c>
      <c r="AJ10" s="245" t="str">
        <f>IF(ISNUMBER(Datos!BW10),Datos!BW10," - ")</f>
        <v xml:space="preserve"> - </v>
      </c>
      <c r="AK10" s="246" t="str">
        <f>IF(ISNUMBER(Datos!BX10),Datos!BX10," - ")</f>
        <v xml:space="preserve"> - </v>
      </c>
      <c r="AL10" s="266">
        <f>IF(ISNUMBER(NºAsuntos!G10/NºAsuntos!E10),NºAsuntos!G10/NºAsuntos!E10," - ")</f>
        <v>0.69852941176470584</v>
      </c>
      <c r="AM10" s="284">
        <f>IF(ISNUMBER(((NºAsuntos!I10/NºAsuntos!G10)*11)/factor_trimestre),((NºAsuntos!I10/NºAsuntos!G10)*11)/factor_trimestre," - ")</f>
        <v>9.6315789473684212</v>
      </c>
      <c r="AN10" s="267">
        <f>IF(ISNUMBER('Resol  Asuntos'!D10/NºAsuntos!G10),'Resol  Asuntos'!D10/NºAsuntos!G10," - ")</f>
        <v>0.37894736842105264</v>
      </c>
      <c r="AO10" s="268">
        <f>IF(ISNUMBER((NºAsuntos!C10+NºAsuntos!E10)/NºAsuntos!G10),(NºAsuntos!C10+NºAsuntos!E10)/NºAsuntos!G10," - ")</f>
        <v>4.2105263157894735</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3</v>
      </c>
      <c r="B11" s="300" t="s">
        <v>321</v>
      </c>
      <c r="C11" s="7" t="str">
        <f>Datos!A11</f>
        <v xml:space="preserve">Jdos. Familia                                   </v>
      </c>
      <c r="D11" s="7"/>
      <c r="E11" s="1402">
        <f>IF(ISNUMBER(Datos!AQ11),Datos!AQ11," - ")</f>
        <v>3</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64</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f>IF(ISNUMBER(Datos!Q11),Datos!Q11," - ")</f>
        <v>82</v>
      </c>
      <c r="Y11" s="374">
        <f t="shared" si="0"/>
        <v>82</v>
      </c>
      <c r="Z11" s="375" t="str">
        <f>IF(ISNUMBER(Datos!CC11),Datos!CC11," - ")</f>
        <v xml:space="preserve"> - </v>
      </c>
      <c r="AA11" s="372" t="str">
        <f>IF(ISNUMBER(IF(J_V="SI",Datos!L11,Datos!L11+Datos!AB11)-IF(Monitorios="SI",Datos!CD11,0)),
                          IF(J_V="SI",Datos!L11,Datos!L11+Datos!AB11)-IF(Monitorios="SI",Datos!CD11,0),
                          " - ")</f>
        <v xml:space="preserve"> - </v>
      </c>
      <c r="AB11" s="374">
        <f>IF(ISNUMBER(Datos!R11),Datos!R11," - ")</f>
        <v>884</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f>IF(ISNUMBER(Datos!M11),Datos!M11," - ")</f>
        <v>223</v>
      </c>
      <c r="AJ11" s="245" t="str">
        <f>IF(ISNUMBER(Datos!BW11),Datos!BW11," - ")</f>
        <v xml:space="preserve"> - </v>
      </c>
      <c r="AK11" s="246" t="str">
        <f>IF(ISNUMBER(Datos!BX11),Datos!BX11," - ")</f>
        <v xml:space="preserve"> - </v>
      </c>
      <c r="AL11" s="266">
        <f>IF(ISNUMBER(NºAsuntos!G11/NºAsuntos!E11),NºAsuntos!G11/NºAsuntos!E11," - ")</f>
        <v>1.0245183887915936</v>
      </c>
      <c r="AM11" s="284">
        <f>IF(ISNUMBER(((NºAsuntos!I11/NºAsuntos!G11)*11)/factor_trimestre),((NºAsuntos!I11/NºAsuntos!G11)*11)/factor_trimestre," - ")</f>
        <v>5.666666666666667</v>
      </c>
      <c r="AN11" s="267">
        <f>IF(ISNUMBER('Resol  Asuntos'!D11/NºAsuntos!G11),'Resol  Asuntos'!D11/NºAsuntos!G11," - ")</f>
        <v>0.38119658119658117</v>
      </c>
      <c r="AO11" s="268">
        <f>IF(ISNUMBER((NºAsuntos!C11+NºAsuntos!E11)/NºAsuntos!G11),(NºAsuntos!C11+NºAsuntos!E11)/NºAsuntos!G11," - ")</f>
        <v>2.8547008547008548</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0</v>
      </c>
      <c r="B12" s="300" t="s">
        <v>321</v>
      </c>
      <c r="C12" s="7" t="str">
        <f>Datos!A12</f>
        <v xml:space="preserve">Jdos. 1ª Instª. e Instr.                        </v>
      </c>
      <c r="D12" s="7"/>
      <c r="E12" s="1402">
        <f>IF(ISNUMBER(Datos!AQ12),Datos!AQ12," - ")</f>
        <v>0</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0</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t="str">
        <f>IF(ISNUMBER(Datos!Q12),Datos!Q12," - ")</f>
        <v xml:space="preserve"> - </v>
      </c>
      <c r="Y12" s="374">
        <f t="shared" si="0"/>
        <v>0</v>
      </c>
      <c r="Z12" s="375" t="str">
        <f>IF(ISNUMBER(Datos!CC12),Datos!CC12," - ")</f>
        <v xml:space="preserve"> - </v>
      </c>
      <c r="AA12" s="372" t="str">
        <f>IF(ISNUMBER(IF(J_V="SI",Datos!L12,Datos!L12+Datos!AB12)-IF(Monitorios="SI",Datos!CD12,0)),
                          IF(J_V="SI",Datos!L12,Datos!L12+Datos!AB12)-IF(Monitorios="SI",Datos!CD12,0),
                          " - ")</f>
        <v xml:space="preserve"> - </v>
      </c>
      <c r="AB12" s="374" t="str">
        <f>IF(ISNUMBER(Datos!R12),Datos!R12," - ")</f>
        <v xml:space="preserve"> - </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t="str">
        <f>IF(ISNUMBER(Datos!M12),Datos!M12," - ")</f>
        <v xml:space="preserve"> - </v>
      </c>
      <c r="AJ12" s="243" t="str">
        <f>IF(ISNUMBER(Datos!BW12),Datos!BW12," - ")</f>
        <v xml:space="preserve"> - </v>
      </c>
      <c r="AK12" s="242" t="str">
        <f>IF(ISNUMBER(Datos!BX12),Datos!BX12," - ")</f>
        <v xml:space="preserve"> - </v>
      </c>
      <c r="AL12" s="266" t="str">
        <f>IF(ISNUMBER(NºAsuntos!G12/NºAsuntos!E12),NºAsuntos!G12/NºAsuntos!E12," - ")</f>
        <v xml:space="preserve"> - </v>
      </c>
      <c r="AM12" s="284" t="str">
        <f>IF(ISNUMBER(((NºAsuntos!I12/NºAsuntos!G12)*11)/factor_trimestre),((NºAsuntos!I12/NºAsuntos!G12)*11)/factor_trimestre," - ")</f>
        <v xml:space="preserve"> - </v>
      </c>
      <c r="AN12" s="267" t="str">
        <f>IF(ISNUMBER('Resol  Asuntos'!D12/NºAsuntos!G12),'Resol  Asuntos'!D12/NºAsuntos!G12," - ")</f>
        <v xml:space="preserve"> - </v>
      </c>
      <c r="AO12" s="268" t="str">
        <f>IF(ISNUMBER((NºAsuntos!C12+NºAsuntos!E12)/NºAsuntos!G12),(NºAsuntos!C12+NºAsuntos!E12)/NºAsuntos!G12," - ")</f>
        <v xml:space="preserve"> - </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18</v>
      </c>
      <c r="F14" s="1162">
        <f t="shared" si="5"/>
        <v>264</v>
      </c>
      <c r="G14" s="1163">
        <f t="shared" si="5"/>
        <v>264</v>
      </c>
      <c r="H14" s="1162">
        <f t="shared" si="5"/>
        <v>0</v>
      </c>
      <c r="I14" s="1164">
        <f t="shared" si="5"/>
        <v>0</v>
      </c>
      <c r="J14" s="1164">
        <f t="shared" si="5"/>
        <v>0</v>
      </c>
      <c r="K14" s="1164">
        <f t="shared" si="5"/>
        <v>0</v>
      </c>
      <c r="L14" s="1164">
        <f t="shared" si="5"/>
        <v>861</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95</v>
      </c>
      <c r="X14" s="1164">
        <f t="shared" si="6"/>
        <v>950</v>
      </c>
      <c r="Y14" s="1165">
        <f t="shared" si="6"/>
        <v>1045</v>
      </c>
      <c r="Z14" s="1165">
        <f t="shared" si="6"/>
        <v>0</v>
      </c>
      <c r="AA14" s="1165">
        <f t="shared" si="6"/>
        <v>305</v>
      </c>
      <c r="AB14" s="1165">
        <f t="shared" si="6"/>
        <v>9679</v>
      </c>
      <c r="AC14" s="1165">
        <f t="shared" si="6"/>
        <v>508</v>
      </c>
      <c r="AD14" s="1165">
        <f t="shared" si="6"/>
        <v>0</v>
      </c>
      <c r="AE14" s="1169">
        <f t="shared" si="6"/>
        <v>0</v>
      </c>
      <c r="AF14" s="1162">
        <f t="shared" si="6"/>
        <v>0</v>
      </c>
      <c r="AG14" s="1170">
        <f t="shared" si="6"/>
        <v>0</v>
      </c>
      <c r="AH14" s="1167">
        <f t="shared" si="6"/>
        <v>0</v>
      </c>
      <c r="AI14" s="1162">
        <f t="shared" si="6"/>
        <v>2303</v>
      </c>
      <c r="AJ14" s="1164">
        <f t="shared" si="6"/>
        <v>0</v>
      </c>
      <c r="AK14" s="1167">
        <f>SUBTOTAL(9,AK9:AK13)</f>
        <v>0</v>
      </c>
      <c r="AL14" s="1171">
        <f>IF(ISNUMBER(NºAsuntos!G14/NºAsuntos!E14),NºAsuntos!G14/NºAsuntos!E14," - ")</f>
        <v>0.85777724435909741</v>
      </c>
      <c r="AM14" s="1171">
        <f>IF(ISNUMBER(((NºAsuntos!I14/NºAsuntos!G14)*11)/factor_trimestre),((NºAsuntos!I14/NºAsuntos!G14)*11)/factor_trimestre," - ")</f>
        <v>7.5111235483419607</v>
      </c>
      <c r="AN14" s="1172">
        <f>IF(ISNUMBER('Resol  Asuntos'!D14/NºAsuntos!G14),'Resol  Asuntos'!D14/NºAsuntos!G14," - ")</f>
        <v>0.32223310479921646</v>
      </c>
      <c r="AO14" s="1173">
        <f>IF(ISNUMBER((NºAsuntos!C14+NºAsuntos!E14)/NºAsuntos!G14),(NºAsuntos!C14+NºAsuntos!E14)/NºAsuntos!G14," - ")</f>
        <v>3.5009094725059464</v>
      </c>
      <c r="AP14" s="1174" t="str">
        <f t="shared" si="2"/>
        <v xml:space="preserve"> - </v>
      </c>
      <c r="AQ14" s="1174">
        <f>IF(ISNUMBER((H14-W14+K14)/(F14)),(H14-W14+K14)/(F14)," - ")</f>
        <v>-0.35984848484848486</v>
      </c>
      <c r="AR14" s="1175">
        <f>IF(ISNUMBER((Datos!P14-Datos!Q14)/(Datos!R14-Datos!P14+Datos!Q14)),(Datos!P14-Datos!Q14)/(Datos!R14-Datos!P14+Datos!Q14)," - ")</f>
        <v>-9.1113841113841122E-3</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10</v>
      </c>
      <c r="B16" s="300" t="s">
        <v>511</v>
      </c>
      <c r="C16" s="173" t="str">
        <f>Datos!A16</f>
        <v xml:space="preserve">Jdos. Instrucción                               </v>
      </c>
      <c r="D16" s="173"/>
      <c r="E16" s="1402">
        <f>IF(ISNUMBER(Datos!AQ16),Datos!AQ16," - ")</f>
        <v>10</v>
      </c>
      <c r="F16" s="239">
        <f>IF(ISNUMBER(AA16+W16-Datos!J16-K16),AA16+W16-Datos!J16-K16," - ")</f>
        <v>4838</v>
      </c>
      <c r="G16" s="373">
        <f>IF(ISNUMBER(IF(D_I="SI",Datos!I16,Datos!I16+Datos!AC16)),IF(D_I="SI",Datos!I16,Datos!I16+Datos!AC16)," - ")</f>
        <v>4504</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429</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f>IF(ISNUMBER(IF(D_I="SI",Datos!K16,Datos!K16+Datos!AE16)),IF(D_I="SI",Datos!K16,Datos!K16+Datos!AE16)," - ")</f>
        <v>5389</v>
      </c>
      <c r="X16" s="240">
        <f>IF(ISNUMBER(Datos!Q16),Datos!Q16," - ")</f>
        <v>415</v>
      </c>
      <c r="Y16" s="374">
        <f>SUM(W16)</f>
        <v>5389</v>
      </c>
      <c r="Z16" s="375" t="str">
        <f>IF(ISNUMBER(Datos!CC16),Datos!CC16," - ")</f>
        <v xml:space="preserve"> - </v>
      </c>
      <c r="AA16" s="372">
        <f>IF(ISNUMBER(IF(D_I="SI",Datos!L16,Datos!L16+Datos!AF16)),IF(D_I="SI",Datos!L16,Datos!L16+Datos!AF16)," - ")</f>
        <v>4531</v>
      </c>
      <c r="AB16" s="374">
        <f>IF(ISNUMBER(Datos!R16),Datos!R16," - ")</f>
        <v>856</v>
      </c>
      <c r="AC16" s="374">
        <f t="shared" ref="AC16:AC22" si="8">IF(ISNUMBER(AA16+AB16),AA16+AB16," - ")</f>
        <v>5387</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f>IF(ISNUMBER(Datos!M16),Datos!M16," - ")</f>
        <v>1159</v>
      </c>
      <c r="AJ16" s="245" t="str">
        <f>IF(ISNUMBER(Datos!BW16),Datos!BW16," - ")</f>
        <v xml:space="preserve"> - </v>
      </c>
      <c r="AK16" s="246" t="str">
        <f>IF(ISNUMBER(Datos!BX16),Datos!BX16," - ")</f>
        <v xml:space="preserve"> - </v>
      </c>
      <c r="AL16" s="266">
        <f>IF(ISNUMBER(NºAsuntos!G16/NºAsuntos!E16),NºAsuntos!G16/NºAsuntos!E16," - ")</f>
        <v>1.060409287682015</v>
      </c>
      <c r="AM16" s="284">
        <f>IF(ISNUMBER(((NºAsuntos!I16/NºAsuntos!G16)*11)/factor_trimestre),((NºAsuntos!I16/NºAsuntos!G16)*11)/factor_trimestre," - ")</f>
        <v>2.5223603637038412</v>
      </c>
      <c r="AN16" s="267">
        <f>IF(ISNUMBER('Resol  Asuntos'!D16/NºAsuntos!G16),'Resol  Asuntos'!D16/NºAsuntos!G16," - ")</f>
        <v>0.21506773056225645</v>
      </c>
      <c r="AO16" s="268">
        <f>IF(ISNUMBER((NºAsuntos!C16+NºAsuntos!E16)/NºAsuntos!G16),(NºAsuntos!C16+NºAsuntos!E16)/NºAsuntos!G16," - ")</f>
        <v>1.7788086843570237</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0</v>
      </c>
      <c r="B17" s="300" t="s">
        <v>511</v>
      </c>
      <c r="C17" s="173" t="str">
        <f>Datos!A17</f>
        <v xml:space="preserve">Jdos. 1ª Instª. e Instr.                        </v>
      </c>
      <c r="D17" s="173"/>
      <c r="E17" s="1402">
        <f>IF(ISNUMBER(Datos!AQ17),Datos!AQ17," - ")</f>
        <v>0</v>
      </c>
      <c r="F17" s="239" t="str">
        <f>IF(ISNUMBER(AA17+W17-Datos!J17-K17),AA17+W17-Datos!J17-K17," - ")</f>
        <v xml:space="preserve"> - </v>
      </c>
      <c r="G17" s="373" t="str">
        <f>IF(ISNUMBER(IF(D_I="SI",Datos!I17,Datos!I17+Datos!AC17)),IF(D_I="SI",Datos!I17,Datos!I17+Datos!AC17)," - ")</f>
        <v xml:space="preserve"> - </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t="str">
        <f>IF(ISNUMBER(IF(D_I="SI",Datos!K17,Datos!K17+Datos!AE17)),IF(D_I="SI",Datos!K17,Datos!K17+Datos!AE17)," - ")</f>
        <v xml:space="preserve"> - </v>
      </c>
      <c r="X17" s="240" t="str">
        <f>IF(ISNUMBER(Datos!Q17),Datos!Q17," - ")</f>
        <v xml:space="preserve"> - </v>
      </c>
      <c r="Y17" s="374">
        <f t="shared" ref="Y17:Y22" si="9">SUM(W17:X17)</f>
        <v>0</v>
      </c>
      <c r="Z17" s="375" t="str">
        <f>IF(ISNUMBER(Datos!CC17),Datos!CC17," - ")</f>
        <v xml:space="preserve"> - </v>
      </c>
      <c r="AA17" s="372" t="str">
        <f>IF(ISNUMBER(IF(D_I="SI",Datos!L17,Datos!L17+Datos!AF17)),IF(D_I="SI",Datos!L17,Datos!L17+Datos!AF17)," - ")</f>
        <v xml:space="preserve"> - </v>
      </c>
      <c r="AB17" s="374" t="str">
        <f>IF(ISNUMBER(Datos!R17),Datos!R17," - ")</f>
        <v xml:space="preserve"> - </v>
      </c>
      <c r="AC17" s="374" t="str">
        <f t="shared" si="8"/>
        <v xml:space="preserve"> - </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t="str">
        <f>IF(ISNUMBER(Datos!M17),Datos!M17," - ")</f>
        <v xml:space="preserve"> - </v>
      </c>
      <c r="AJ17" s="245" t="str">
        <f>IF(ISNUMBER(Datos!BW17),Datos!BW17," - ")</f>
        <v xml:space="preserve"> - </v>
      </c>
      <c r="AK17" s="246" t="str">
        <f>IF(ISNUMBER(Datos!BX17),Datos!BX17," - ")</f>
        <v xml:space="preserve"> - </v>
      </c>
      <c r="AL17" s="266" t="str">
        <f>IF(ISNUMBER(NºAsuntos!G17/NºAsuntos!E17),NºAsuntos!G17/NºAsuntos!E17," - ")</f>
        <v xml:space="preserve"> - </v>
      </c>
      <c r="AM17" s="284" t="str">
        <f>IF(ISNUMBER(((NºAsuntos!I17/NºAsuntos!G17)*11)/factor_trimestre),((NºAsuntos!I17/NºAsuntos!G17)*11)/factor_trimestre," - ")</f>
        <v xml:space="preserve"> - </v>
      </c>
      <c r="AN17" s="267" t="str">
        <f>IF(ISNUMBER('Resol  Asuntos'!D17/NºAsuntos!G17),'Resol  Asuntos'!D17/NºAsuntos!G17," - ")</f>
        <v xml:space="preserve"> - </v>
      </c>
      <c r="AO17" s="268" t="str">
        <f>IF(ISNUMBER((NºAsuntos!C17+NºAsuntos!E17)/NºAsuntos!G17),(NºAsuntos!C17+NºAsuntos!E17)/NºAsuntos!G17," - ")</f>
        <v xml:space="preserve"> - </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2</v>
      </c>
      <c r="B18" s="300" t="s">
        <v>511</v>
      </c>
      <c r="C18" s="7" t="str">
        <f>Datos!A18</f>
        <v>Jdos. Violencia contra la mujer</v>
      </c>
      <c r="D18" s="7"/>
      <c r="E18" s="1402">
        <f>IF(ISNUMBER(Datos!AQ18),Datos!AQ18," - ")</f>
        <v>2</v>
      </c>
      <c r="F18" s="239" t="str">
        <f>IF(ISNUMBER(AA18+W18-H18-K18),AA18+W18-H18-K18," - ")</f>
        <v xml:space="preserve"> - </v>
      </c>
      <c r="G18" s="373">
        <f>IF(ISNUMBER(IF(D_I="SI",Datos!I18,Datos!I18+Datos!AC18)),IF(D_I="SI",Datos!I18,Datos!I18+Datos!AC18)," - ")</f>
        <v>598</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16</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701</v>
      </c>
      <c r="X18" s="240">
        <f>IF(ISNUMBER(Datos!Q18),Datos!Q18," - ")</f>
        <v>19</v>
      </c>
      <c r="Y18" s="374">
        <f t="shared" si="9"/>
        <v>720</v>
      </c>
      <c r="Z18" s="375" t="str">
        <f>IF(ISNUMBER(Datos!CC18),Datos!CC18," - ")</f>
        <v xml:space="preserve"> - </v>
      </c>
      <c r="AA18" s="372">
        <f>IF(ISNUMBER(Datos!L18),Datos!L18,"-")</f>
        <v>532</v>
      </c>
      <c r="AB18" s="374">
        <f>IF(ISNUMBER(Datos!R18),Datos!R18," - ")</f>
        <v>20</v>
      </c>
      <c r="AC18" s="374">
        <f t="shared" si="8"/>
        <v>552</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100</v>
      </c>
      <c r="AJ18" s="245" t="str">
        <f>IF(ISNUMBER(Datos!BW18),Datos!BW18," - ")</f>
        <v xml:space="preserve"> - </v>
      </c>
      <c r="AK18" s="246" t="str">
        <f>IF(ISNUMBER(Datos!BX18),Datos!BX18," - ")</f>
        <v xml:space="preserve"> - </v>
      </c>
      <c r="AL18" s="266">
        <f>IF(ISNUMBER(NºAsuntos!G18/NºAsuntos!E18),NºAsuntos!G18/NºAsuntos!E18," - ")</f>
        <v>1.1198083067092652</v>
      </c>
      <c r="AM18" s="284">
        <f>IF(ISNUMBER(((NºAsuntos!I18/NºAsuntos!G18)*11)/factor_trimestre),((NºAsuntos!I18/NºAsuntos!G18)*11)/factor_trimestre," - ")</f>
        <v>2.2767475035663343</v>
      </c>
      <c r="AN18" s="267">
        <f>IF(ISNUMBER('Resol  Asuntos'!D18/NºAsuntos!G18),'Resol  Asuntos'!D18/NºAsuntos!G18," - ")</f>
        <v>0.14265335235378032</v>
      </c>
      <c r="AO18" s="268">
        <f>IF(ISNUMBER((NºAsuntos!C18+NºAsuntos!E18)/NºAsuntos!G18),(NºAsuntos!C18+NºAsuntos!E18)/NºAsuntos!G18," - ")</f>
        <v>1.746077032810271</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12</v>
      </c>
      <c r="F23" s="1162">
        <f>SUBTOTAL(9,F15:F22)</f>
        <v>4838</v>
      </c>
      <c r="G23" s="1163">
        <f>SUBTOTAL(9,G16:G22)</f>
        <v>5102</v>
      </c>
      <c r="H23" s="1162">
        <f t="shared" ref="H23:O23" si="13">SUBTOTAL(9,H15:H22)</f>
        <v>0</v>
      </c>
      <c r="I23" s="1164">
        <f t="shared" si="13"/>
        <v>0</v>
      </c>
      <c r="J23" s="1164">
        <f t="shared" si="13"/>
        <v>0</v>
      </c>
      <c r="K23" s="1164">
        <f t="shared" si="13"/>
        <v>0</v>
      </c>
      <c r="L23" s="1164">
        <f t="shared" si="13"/>
        <v>445</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6090</v>
      </c>
      <c r="X23" s="1164">
        <f t="shared" si="14"/>
        <v>434</v>
      </c>
      <c r="Y23" s="1165">
        <f t="shared" si="14"/>
        <v>6109</v>
      </c>
      <c r="Z23" s="1165">
        <f t="shared" si="14"/>
        <v>0</v>
      </c>
      <c r="AA23" s="1165">
        <f t="shared" si="14"/>
        <v>5063</v>
      </c>
      <c r="AB23" s="1165">
        <f t="shared" si="14"/>
        <v>876</v>
      </c>
      <c r="AC23" s="1165">
        <f t="shared" si="14"/>
        <v>5939</v>
      </c>
      <c r="AD23" s="1165">
        <f t="shared" si="14"/>
        <v>0</v>
      </c>
      <c r="AE23" s="1169">
        <f t="shared" si="14"/>
        <v>0</v>
      </c>
      <c r="AF23" s="1162">
        <f t="shared" si="14"/>
        <v>0</v>
      </c>
      <c r="AG23" s="1170">
        <f t="shared" si="14"/>
        <v>0</v>
      </c>
      <c r="AH23" s="1167">
        <f t="shared" si="14"/>
        <v>0</v>
      </c>
      <c r="AI23" s="1162">
        <f t="shared" si="14"/>
        <v>1259</v>
      </c>
      <c r="AJ23" s="1164">
        <f t="shared" si="14"/>
        <v>0</v>
      </c>
      <c r="AK23" s="1167">
        <f t="shared" si="14"/>
        <v>0</v>
      </c>
      <c r="AL23" s="1171">
        <f>IF(ISNUMBER(NºAsuntos!G23/NºAsuntos!E23),NºAsuntos!G23/NºAsuntos!E23," - ")</f>
        <v>1.0669236159775752</v>
      </c>
      <c r="AM23" s="1171">
        <f>IF(ISNUMBER(((NºAsuntos!I23/NºAsuntos!G23)*11)/factor_trimestre),((NºAsuntos!I23/NºAsuntos!G23)*11)/factor_trimestre," - ")</f>
        <v>2.494088669950739</v>
      </c>
      <c r="AN23" s="1172">
        <f>IF(ISNUMBER('Resol  Asuntos'!D23/NºAsuntos!G23),'Resol  Asuntos'!D23/NºAsuntos!G23," - ")</f>
        <v>0.20673234811165844</v>
      </c>
      <c r="AO23" s="1173">
        <f>IF(ISNUMBER((NºAsuntos!C23+NºAsuntos!E23)/NºAsuntos!G23),(NºAsuntos!C23+NºAsuntos!E23)/NºAsuntos!G23," - ")</f>
        <v>1.7750410509031198</v>
      </c>
      <c r="AP23" s="1174" t="str">
        <f t="shared" si="2"/>
        <v xml:space="preserve"> - </v>
      </c>
      <c r="AQ23" s="1174">
        <f>IF(ISNUMBER((H23-W23+K23)/(F23)),(H23-W23+K23)/(F23)," - ")</f>
        <v>-1.2587846217445224</v>
      </c>
      <c r="AR23" s="1175">
        <f>IF(ISNUMBER((Datos!P23-Datos!Q23)/(Datos!R23-Datos!P23+Datos!Q23)),(Datos!P23-Datos!Q23)/(Datos!R23-Datos!P23+Datos!Q23)," - ")</f>
        <v>1.2716763005780347E-2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30</v>
      </c>
      <c r="F31" s="1117">
        <f t="shared" si="20"/>
        <v>5102</v>
      </c>
      <c r="G31" s="1118">
        <f t="shared" si="20"/>
        <v>5366</v>
      </c>
      <c r="H31" s="1117">
        <f t="shared" si="20"/>
        <v>0</v>
      </c>
      <c r="I31" s="1119">
        <f t="shared" si="20"/>
        <v>0</v>
      </c>
      <c r="J31" s="1119">
        <f t="shared" si="20"/>
        <v>0</v>
      </c>
      <c r="K31" s="1180">
        <f t="shared" si="20"/>
        <v>0</v>
      </c>
      <c r="L31" s="1119">
        <f t="shared" si="20"/>
        <v>1306</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6185</v>
      </c>
      <c r="X31" s="1118">
        <f t="shared" si="21"/>
        <v>1384</v>
      </c>
      <c r="Y31" s="1125">
        <f t="shared" si="21"/>
        <v>7154</v>
      </c>
      <c r="Z31" s="1125">
        <f t="shared" si="21"/>
        <v>0</v>
      </c>
      <c r="AA31" s="1125">
        <f t="shared" si="21"/>
        <v>5368</v>
      </c>
      <c r="AB31" s="1125">
        <f t="shared" si="21"/>
        <v>10555</v>
      </c>
      <c r="AC31" s="1125">
        <f t="shared" si="21"/>
        <v>6447</v>
      </c>
      <c r="AD31" s="1125">
        <f t="shared" si="21"/>
        <v>0</v>
      </c>
      <c r="AE31" s="1127">
        <f t="shared" si="21"/>
        <v>0</v>
      </c>
      <c r="AF31" s="1128">
        <f t="shared" si="21"/>
        <v>0</v>
      </c>
      <c r="AG31" s="1129">
        <f t="shared" si="21"/>
        <v>0</v>
      </c>
      <c r="AH31" s="1127">
        <f t="shared" si="21"/>
        <v>0</v>
      </c>
      <c r="AI31" s="1117">
        <f t="shared" si="21"/>
        <v>3562</v>
      </c>
      <c r="AJ31" s="1117">
        <f t="shared" si="21"/>
        <v>0</v>
      </c>
      <c r="AK31" s="1127">
        <f t="shared" si="21"/>
        <v>0</v>
      </c>
      <c r="AL31" s="1183">
        <f>IF(ISNUMBER(NºAsuntos!G31/NºAsuntos!E31),NºAsuntos!G31/NºAsuntos!E31," - ")</f>
        <v>0.94280626780626786</v>
      </c>
      <c r="AM31" s="1184">
        <f>IF(ISNUMBER(((NºAsuntos!I31/NºAsuntos!G31)*11)/factor_trimestre),((NºAsuntos!I31/NºAsuntos!G31)*11)/factor_trimestre," - ")</f>
        <v>5.202916068595604</v>
      </c>
      <c r="AN31" s="1184">
        <f>IF(ISNUMBER('Resol  Asuntos'!D31/NºAsuntos!G31),'Resol  Asuntos'!D31/NºAsuntos!G31," - ")</f>
        <v>0.26909420563571806</v>
      </c>
      <c r="AO31" s="1185">
        <f>IF(ISNUMBER((NºAsuntos!C31+NºAsuntos!E31)/NºAsuntos!G31),(NºAsuntos!C31+NºAsuntos!E31)/NºAsuntos!G31," - ")</f>
        <v>2.7068822240688979</v>
      </c>
      <c r="AP31" s="1186" t="str">
        <f t="shared" si="2"/>
        <v xml:space="preserve"> - </v>
      </c>
      <c r="AQ31" s="1187">
        <f>IF(OR(ISNUMBER(FIND("01",Criterios!A8,1)),ISNUMBER(FIND("02",Criterios!A8,1)),ISNUMBER(FIND("03",Criterios!A8,1)),ISNUMBER(FIND("04",Criterios!A8,1))),(I31-W31+K31)/(F31-K31),(H31-W31+K31)/(F31-K31))</f>
        <v>-1.2122696981575853</v>
      </c>
      <c r="AR31" s="1188">
        <f>IF(ISNUMBER((Datos!P31-Datos!Q31)/(Datos!R31-Datos!P31+Datos!Q31)),(Datos!P31-Datos!Q31)/(Datos!R31-Datos!P31+Datos!Q31)," - ")</f>
        <v>-7.3356531552713254E-3</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1533.1428571428571</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5.6002297363068241</v>
      </c>
      <c r="F33" s="276">
        <f>IF(ISNUMBER(STDEV(F8:F30)),STDEV(F8:F30),"-")</f>
        <v>2433.0342099252666</v>
      </c>
      <c r="G33" s="277">
        <f>IF(ISNUMBER(STDEV(G8:G30)),STDEV(G8:G30),"-")</f>
        <v>2249.4342569167202</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2731.8892991585772</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924.1273060448857</v>
      </c>
      <c r="AJ33" s="276">
        <f t="shared" si="25"/>
        <v>0</v>
      </c>
      <c r="AK33" s="278">
        <f t="shared" si="25"/>
        <v>0</v>
      </c>
      <c r="AL33" s="273">
        <f t="shared" si="25"/>
        <v>0.15398682532079364</v>
      </c>
      <c r="AM33" s="274">
        <f t="shared" si="25"/>
        <v>2.9989413538891183</v>
      </c>
      <c r="AN33" s="274">
        <f t="shared" si="25"/>
        <v>9.2702917769419593E-2</v>
      </c>
      <c r="AO33" s="275">
        <f t="shared" si="25"/>
        <v>1.0201307230674963</v>
      </c>
      <c r="AP33" s="317" t="str">
        <f t="shared" si="25"/>
        <v>-</v>
      </c>
      <c r="AQ33" s="318">
        <f t="shared" si="25"/>
        <v>0.63564383825282678</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0IzWZN7JOsXwIo+y6I9TaO11GUWw3oFMnW86bEE7eRxB8pkK0u9eSblxztn4Sk6Bt1NeAk1ZJZx6y9HnaiNWQ==" saltValue="qoXB4UgYl3Vz/1kUj8SHl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PAIS VASCO</v>
      </c>
      <c r="E2" s="287"/>
    </row>
    <row r="3" spans="2:20" ht="17.25" customHeight="1">
      <c r="C3" s="291"/>
      <c r="D3" s="286" t="str">
        <f>Criterios!A10 &amp;"  "&amp;Criterios!B10</f>
        <v>Provincias  BIZKAIA</v>
      </c>
      <c r="E3" s="287"/>
    </row>
    <row r="4" spans="2:20" ht="17.25" customHeight="1" thickBot="1">
      <c r="D4" s="286" t="str">
        <f>Criterios!A11 &amp;"  "&amp;Criterios!B11</f>
        <v>Resumenes por Partidos Judiciales  BILBAO</v>
      </c>
      <c r="E4" s="287"/>
    </row>
    <row r="5" spans="2:20" ht="12.75" customHeight="1">
      <c r="B5" s="297"/>
      <c r="C5" s="1649" t="str">
        <f>"Año:  " &amp;Criterios!B5 &amp; "          Trimestre   " &amp;Criterios!D5 &amp; " al " &amp;Criterios!D6</f>
        <v>Año:  2022          Trimestre   4 al 4</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f>IF(ISNUMBER((Datos!M9-Datos!W9)/Datos!W9),(Datos!M9-Datos!W9)/Datos!W9," - ")</f>
        <v>-0.13169073916737467</v>
      </c>
      <c r="I9" s="395">
        <f>IF(ISNUMBER((Tasas!C9-Datos!BE9)/Datos!BE9),(Tasas!C9-Datos!BE9)/Datos!BE9," - ")</f>
        <v>2.2939847748240039E-2</v>
      </c>
      <c r="J9" s="394">
        <f>IF(ISNUMBER((Tasas!D9-Datos!BF9)/Datos!BF9),(Tasas!D9-Datos!BF9)/Datos!BF9," - ")</f>
        <v>6.977559762537934E-2</v>
      </c>
      <c r="K9" s="396">
        <f>IF(ISNUMBER((Tasas!E9-Datos!BG9)/Datos!BG9),(Tasas!E9-Datos!BG9)/Datos!BG9," - ")</f>
        <v>1.6277263150094777E-2</v>
      </c>
      <c r="M9" t="e">
        <f>IF(Monitorios="SI",Datos!CE9,0)</f>
        <v>#REF!</v>
      </c>
      <c r="N9" t="e">
        <f>IF(Monitorios="SI",Datos!CF9,0)</f>
        <v>#REF!</v>
      </c>
      <c r="O9" t="e">
        <f>IF(Monitorios="SI",Datos!CG9,0)</f>
        <v>#REF!</v>
      </c>
      <c r="P9" t="e">
        <f>IF(Monitorios="SI",Datos!CH9,0)</f>
        <v>#REF!</v>
      </c>
      <c r="Q9">
        <f>IF(J_V="SI",0,Datos!AG9)</f>
        <v>415</v>
      </c>
      <c r="R9">
        <f>IF(J_V="SI",0,Datos!AH9)</f>
        <v>1001</v>
      </c>
      <c r="S9">
        <f>IF(J_V="SI",0,Datos!AI9)</f>
        <v>929</v>
      </c>
      <c r="T9">
        <f>IF(J_V="SI",0,Datos!AJ9)</f>
        <v>490</v>
      </c>
    </row>
    <row r="10" spans="2:20" ht="14.25">
      <c r="B10" s="300" t="s">
        <v>321</v>
      </c>
      <c r="C10" s="7" t="str">
        <f>Datos!A10</f>
        <v>Jdos. Violencia contra la mujer</v>
      </c>
      <c r="D10" s="397">
        <f>IF(ISNUMBER((Datos!I10-Datos!S10)/Datos!S10),(Datos!I10-Datos!S10)/Datos!S10," - ")</f>
        <v>1.5384615384615385E-2</v>
      </c>
      <c r="E10" s="393">
        <f>IF(ISNUMBER((Datos!J10-Datos!T10)/Datos!T10),(Datos!J10-Datos!T10)/Datos!T10," - ")</f>
        <v>1.72</v>
      </c>
      <c r="F10" s="393">
        <f>IF(ISNUMBER((Datos!K10-Datos!U10)/Datos!U10),(Datos!K10-Datos!U10)/Datos!U10," - ")</f>
        <v>0.484375</v>
      </c>
      <c r="G10" s="394">
        <f>IF(ISNUMBER((Datos!L10-Datos!V10)/Datos!V10),(Datos!L10-Datos!V10)/Datos!V10," - ")</f>
        <v>0.23983739837398374</v>
      </c>
      <c r="H10" s="244">
        <f>IF(ISNUMBER((Datos!M10-Datos!W10)/Datos!W10),(Datos!M10-Datos!W10)/Datos!W10," - ")</f>
        <v>0.16129032258064516</v>
      </c>
      <c r="I10" s="395">
        <f>IF(ISNUMBER((Tasas!C10-Datos!BE10)/Datos!BE10),(Tasas!C10-Datos!BE10)/Datos!BE10," - ")</f>
        <v>-0.16474112109542144</v>
      </c>
      <c r="J10" s="394">
        <f>IF(ISNUMBER((Tasas!D10-Datos!BF10)/Datos!BF10),(Tasas!D10-Datos!BF10)/Datos!BF10," - ")</f>
        <v>-0.21765704584040743</v>
      </c>
      <c r="K10" s="396">
        <f>IF(ISNUMBER((Tasas!E10-Datos!BG10)/Datos!BG10),(Tasas!E10-Datos!BG10)/Datos!BG10," - ")</f>
        <v>-0.13073005093378612</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f>IF(ISNUMBER((Datos!M11-Datos!W11)/Datos!W11),(Datos!M11-Datos!W11)/Datos!W11," - ")</f>
        <v>-0.26644736842105265</v>
      </c>
      <c r="I11" s="395">
        <f>IF(ISNUMBER((Tasas!C11-Datos!BE11)/Datos!BE11),(Tasas!C11-Datos!BE11)/Datos!BE11," - ")</f>
        <v>3.3278327832783283E-2</v>
      </c>
      <c r="J11" s="394">
        <f>IF(ISNUMBER((Tasas!D11-Datos!BF11)/Datos!BF11),(Tasas!D11-Datos!BF11)/Datos!BF11," - ")</f>
        <v>0.80523809523809509</v>
      </c>
      <c r="K11" s="396">
        <f>IF(ISNUMBER((Tasas!E11-Datos!BG11)/Datos!BG11),(Tasas!E11-Datos!BG11)/Datos!BG11," - ")</f>
        <v>9.9608680184987194E-3</v>
      </c>
      <c r="M11" t="e">
        <f>IF(Monitorios="SI",Datos!CE11,0)</f>
        <v>#REF!</v>
      </c>
      <c r="N11" t="e">
        <f>IF(Monitorios="SI",Datos!CF11,0)</f>
        <v>#REF!</v>
      </c>
      <c r="O11" t="e">
        <f>IF(Monitorios="SI",Datos!CG11,0)</f>
        <v>#REF!</v>
      </c>
      <c r="P11" t="e">
        <f>IF(Monitorios="SI",Datos!CH11,0)</f>
        <v>#REF!</v>
      </c>
      <c r="Q11">
        <f>IF(J_V="SI",0,Datos!AG11)</f>
        <v>58</v>
      </c>
      <c r="R11">
        <f>IF(J_V="SI",0,Datos!AH11)</f>
        <v>42</v>
      </c>
      <c r="S11">
        <f>IF(J_V="SI",0,Datos!AI11)</f>
        <v>42</v>
      </c>
      <c r="T11">
        <f>IF(J_V="SI",0,Datos!AJ11)</f>
        <v>58</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t="str">
        <f>IF(ISNUMBER((Datos!M12-Datos!W12)/Datos!W12),(Datos!M12-Datos!W12)/Datos!W12," - ")</f>
        <v xml:space="preserve"> - </v>
      </c>
      <c r="I12" s="395" t="str">
        <f>IF(ISNUMBER((Tasas!C12-Datos!BE12)/Datos!BE12),(Tasas!C12-Datos!BE12)/Datos!BE12," - ")</f>
        <v xml:space="preserve"> - </v>
      </c>
      <c r="J12" s="394" t="str">
        <f>IF(ISNUMBER((Tasas!D12-Datos!BF12)/Datos!BF12),(Tasas!D12-Datos!BF12)/Datos!BF12," - ")</f>
        <v xml:space="preserve"> - </v>
      </c>
      <c r="K12" s="396"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-0.14354778728151729</v>
      </c>
      <c r="I14" s="402">
        <f>IF(ISNUMBER((Tasas!C14-Datos!BE14)/Datos!BE14),(Tasas!C14-Datos!BE14)/Datos!BE14," - ")</f>
        <v>2.5597591149784132E-2</v>
      </c>
      <c r="J14" s="400">
        <f>IF(ISNUMBER((Tasas!D14-Datos!BF14)/Datos!BF14),(Tasas!D14-Datos!BF14)/Datos!BF14," - ")</f>
        <v>0.11426996476563873</v>
      </c>
      <c r="K14" s="403">
        <f>IF(ISNUMBER((Tasas!E14-Datos!BG14)/Datos!BG14),(Tasas!E14-Datos!BG14)/Datos!BG14," - ")</f>
        <v>1.730359204395221E-2</v>
      </c>
      <c r="M14" t="e">
        <f>IF(Monitorios="SI",Datos!CE14,0)</f>
        <v>#REF!</v>
      </c>
      <c r="N14" t="e">
        <f>IF(Monitorios="SI",Datos!CF14,0)</f>
        <v>#REF!</v>
      </c>
      <c r="O14" t="e">
        <f>IF(Monitorios="SI",Datos!CG14,0)</f>
        <v>#REF!</v>
      </c>
      <c r="P14" t="e">
        <f>IF(Monitorios="SI",Datos!CH14,0)</f>
        <v>#REF!</v>
      </c>
      <c r="Q14">
        <f>IF(J_V="SI",0,Datos!AG14)</f>
        <v>473</v>
      </c>
      <c r="R14">
        <f>IF(J_V="SI",0,Datos!AH14)</f>
        <v>1043</v>
      </c>
      <c r="S14">
        <f>IF(J_V="SI",0,Datos!AI14)</f>
        <v>971</v>
      </c>
      <c r="T14">
        <f>IF(J_V="SI",0,Datos!AJ14)</f>
        <v>548</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f>IF(ISNUMBER(
   IF(D_I="SI",(Datos!I16-Datos!S16)/Datos!S16,(Datos!I16+Datos!AC16-(Datos!S16+Datos!AK16))/(Datos!S16+Datos!AK16))
     ),IF(D_I="SI",(Datos!I16-Datos!S16)/Datos!S16,(Datos!I16+Datos!AC16-(Datos!S16+Datos!AK16))/(Datos!S16+Datos!AK16))," - ")</f>
        <v>-1.0109890109890111E-2</v>
      </c>
      <c r="E16" s="393">
        <f>IF(ISNUMBER(
   IF(D_I="SI",(Datos!J16-Datos!T16)/Datos!T16,(Datos!J16+Datos!AD16-(Datos!T16+Datos!AL16))/(Datos!T16+Datos!AL16))
     ),IF(D_I="SI",(Datos!J16-Datos!T16)/Datos!T16,(Datos!J16+Datos!AD16-(Datos!T16+Datos!AL16))/(Datos!T16+Datos!AL16))," - ")</f>
        <v>0.12135922330097088</v>
      </c>
      <c r="F16" s="393">
        <f>IF(ISNUMBER(
   IF(D_I="SI",(Datos!K16-Datos!U16)/Datos!U16,(Datos!K16+Datos!AE16-(Datos!U16+Datos!AM16))/(Datos!U16+Datos!AM16))
     ),IF(D_I="SI",(Datos!K16-Datos!U16)/Datos!U16,(Datos!K16+Datos!AE16-(Datos!U16+Datos!AM16))/(Datos!U16+Datos!AM16))," - ")</f>
        <v>0.11550403643138067</v>
      </c>
      <c r="G16" s="394">
        <f>IF(ISNUMBER(
   IF(D_I="SI",(Datos!L16-Datos!V16)/Datos!V16,(Datos!L16+Datos!AF16-(Datos!V16+Datos!AN16))/(Datos!V16+Datos!AN16))
     ),IF(D_I="SI",(Datos!L16-Datos!V16)/Datos!V16,(Datos!L16+Datos!AF16-(Datos!V16+Datos!AN16))/(Datos!V16+Datos!AN16))," - ")</f>
        <v>1.3873349742671738E-2</v>
      </c>
      <c r="H16" s="244">
        <f>IF(ISNUMBER((Datos!M16-Datos!W16)/Datos!W16),(Datos!M16-Datos!W16)/Datos!W16," - ")</f>
        <v>1.9349164467897976E-2</v>
      </c>
      <c r="I16" s="395">
        <f>IF(ISNUMBER((Tasas!C16-Datos!BE16)/Datos!BE16),(Tasas!C16-Datos!BE16)/Datos!BE16," - ")</f>
        <v>-9.1107412765476542E-2</v>
      </c>
      <c r="J16" s="394">
        <f>IF(ISNUMBER((Tasas!D16-Datos!BF16)/Datos!BF16),(Tasas!D16-Datos!BF16)/Datos!BF16," - ")</f>
        <v>-8.6198587206454819E-2</v>
      </c>
      <c r="K16" s="396">
        <f>IF(ISNUMBER((Tasas!E16-Datos!BG16)/Datos!BG16),(Tasas!E16-Datos!BG16)/Datos!BG16," - ")</f>
        <v>-5.3795997123014562E-2</v>
      </c>
    </row>
    <row r="17" spans="2:20" ht="14.25">
      <c r="B17" s="300" t="s">
        <v>511</v>
      </c>
      <c r="C17" s="7" t="str">
        <f>Datos!A17</f>
        <v xml:space="preserve">Jdos. 1ª Instª. e Instr.                        </v>
      </c>
      <c r="D17" s="397" t="str">
        <f>IF(ISNUMBER(
   IF(D_I="SI",(Datos!I17-Datos!S17)/Datos!S17,(Datos!I17+Datos!AC17-(Datos!S17+Datos!AK17))/(Datos!S17+Datos!AK17))
     ),IF(D_I="SI",(Datos!I17-Datos!S17)/Datos!S17,(Datos!I17+Datos!AC17-(Datos!S17+Datos!AK17))/(Datos!S17+Datos!AK17))," - ")</f>
        <v xml:space="preserve"> - </v>
      </c>
      <c r="E17" s="393" t="str">
        <f>IF(ISNUMBER(
   IF(D_I="SI",(Datos!J17-Datos!T17)/Datos!T17,(Datos!J17+Datos!AD17-(Datos!T17+Datos!AL17))/(Datos!T17+Datos!AL17))
     ),IF(D_I="SI",(Datos!J17-Datos!T17)/Datos!T17,(Datos!J17+Datos!AD17-(Datos!T17+Datos!AL17))/(Datos!T17+Datos!AL17))," - ")</f>
        <v xml:space="preserve"> - </v>
      </c>
      <c r="F17" s="393" t="str">
        <f>IF(ISNUMBER(
   IF(D_I="SI",(Datos!K17-Datos!U17)/Datos!U17,(Datos!K17+Datos!AE17-(Datos!U17+Datos!AM17))/(Datos!U17+Datos!AM17))
     ),IF(D_I="SI",(Datos!K17-Datos!U17)/Datos!U17,(Datos!K17+Datos!AE17-(Datos!U17+Datos!AM17))/(Datos!U17+Datos!AM17))," - ")</f>
        <v xml:space="preserve"> - </v>
      </c>
      <c r="G17" s="394" t="str">
        <f>IF(ISNUMBER(
   IF(D_I="SI",(Datos!L17-Datos!V17)/Datos!V17,(Datos!L17+Datos!AF17-(Datos!V17+Datos!AN17))/(Datos!V17+Datos!AN17))
     ),IF(D_I="SI",(Datos!L17-Datos!V17)/Datos!V17,(Datos!L17+Datos!AF17-(Datos!V17+Datos!AN17))/(Datos!V17+Datos!AN17))," - ")</f>
        <v xml:space="preserve"> - </v>
      </c>
      <c r="H17" s="244" t="str">
        <f>IF(ISNUMBER((Datos!M17-Datos!W17)/Datos!W17),(Datos!M17-Datos!W17)/Datos!W17," - ")</f>
        <v xml:space="preserve"> - </v>
      </c>
      <c r="I17" s="395" t="str">
        <f>IF(ISNUMBER((Tasas!C17-Datos!BE17)/Datos!BE17),(Tasas!C17-Datos!BE17)/Datos!BE17," - ")</f>
        <v xml:space="preserve"> - </v>
      </c>
      <c r="J17" s="394" t="str">
        <f>IF(ISNUMBER((Tasas!D17-Datos!BF17)/Datos!BF17),(Tasas!D17-Datos!BF17)/Datos!BF17," - ")</f>
        <v xml:space="preserve"> - </v>
      </c>
      <c r="K17" s="396" t="str">
        <f>IF(ISNUMBER((Tasas!E17-Datos!BG17)/Datos!BG17),(Tasas!E17-Datos!BG17)/Datos!BG17," - ")</f>
        <v xml:space="preserve"> - </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4.1811846689895474E-2</v>
      </c>
      <c r="E18" s="393">
        <f>IF(ISNUMBER(
   IF(D_I="SI",(Datos!J18-Datos!T18)/Datos!T18,(Datos!J18+Datos!AD18-(Datos!T18+Datos!AL18))/(Datos!T18+Datos!AL18))
     ),IF(D_I="SI",(Datos!J18-Datos!T18)/Datos!T18,(Datos!J18+Datos!AD18-(Datos!T18+Datos!AL18))/(Datos!T18+Datos!AL18))," - ")</f>
        <v>0.13611615245009073</v>
      </c>
      <c r="F18" s="393">
        <f>IF(ISNUMBER(
   IF(D_I="SI",(Datos!K18-Datos!U18)/Datos!U18,(Datos!K18+Datos!AE18-(Datos!U18+Datos!AM18))/(Datos!U18+Datos!AM18))
     ),IF(D_I="SI",(Datos!K18-Datos!U18)/Datos!U18,(Datos!K18+Datos!AE18-(Datos!U18+Datos!AM18))/(Datos!U18+Datos!AM18))," - ")</f>
        <v>0.23633156966490299</v>
      </c>
      <c r="G18" s="394">
        <f>IF(ISNUMBER(
   IF(D_I="SI",(Datos!L18-Datos!V18)/Datos!V18,(Datos!L18+Datos!AF18-(Datos!V18+Datos!AN18))/(Datos!V18+Datos!AN18))
     ),IF(D_I="SI",(Datos!L18-Datos!V18)/Datos!V18,(Datos!L18+Datos!AF18-(Datos!V18+Datos!AN18))/(Datos!V18+Datos!AN18))," - ")</f>
        <v>-5.6737588652482268E-2</v>
      </c>
      <c r="H18" s="244">
        <f>IF(ISNUMBER((Datos!M18-Datos!W18)/Datos!W18),(Datos!M18-Datos!W18)/Datos!W18," - ")</f>
        <v>0.23456790123456789</v>
      </c>
      <c r="I18" s="395">
        <f>IF(ISNUMBER((Tasas!C18-Datos!BE18)/Datos!BE18),(Tasas!C18-Datos!BE18)/Datos!BE18," - ")</f>
        <v>-0.23704737912404764</v>
      </c>
      <c r="J18" s="394">
        <f>IF(ISNUMBER((Tasas!D18-Datos!BF18)/Datos!BF18),(Tasas!D18-Datos!BF18)/Datos!BF18," - ")</f>
        <v>-1.426533523537693E-3</v>
      </c>
      <c r="K18" s="396">
        <f>IF(ISNUMBER((Tasas!E18-Datos!BG18)/Datos!BG18),(Tasas!E18-Datos!BG18)/Datos!BG18," - ")</f>
        <v>-0.11997717546362342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-4.2935206869633103E-3</v>
      </c>
      <c r="E23" s="399">
        <f>IF(ISNUMBER(
   IF(D_I="SI",(Datos!J23-Datos!T23)/Datos!T23,(Datos!J23+Datos!AD23-(Datos!T23+Datos!AL23))/(Datos!T23+Datos!AL23))
     ),IF(D_I="SI",(Datos!J23-Datos!T23)/Datos!T23,(Datos!J23+Datos!AD23-(Datos!T23+Datos!AL23))/(Datos!T23+Datos!AL23))," - ")</f>
        <v>0.12295888254967539</v>
      </c>
      <c r="F23" s="399">
        <f>IF(ISNUMBER(
   IF(D_I="SI",(Datos!K23-Datos!U23)/Datos!U23,(Datos!K23+Datos!AE23-(Datos!U23+Datos!AM23))/(Datos!U23+Datos!AM23))
     ),IF(D_I="SI",(Datos!K23-Datos!U23)/Datos!U23,(Datos!K23+Datos!AE23-(Datos!U23+Datos!AM23))/(Datos!U23+Datos!AM23))," - ")</f>
        <v>0.12819562801037421</v>
      </c>
      <c r="G23" s="400">
        <f>IF(ISNUMBER(
   IF(D_I="SI",(Datos!L23-Datos!V23)/Datos!V23,(Datos!L23+Datos!AF23-(Datos!V23+Datos!AN23))/(Datos!V23+Datos!AN23))
     ),IF(D_I="SI",(Datos!L23-Datos!V23)/Datos!V23,(Datos!L23+Datos!AF23-(Datos!V23+Datos!AN23))/(Datos!V23+Datos!AN23))," - ")</f>
        <v>5.9606596463341946E-3</v>
      </c>
      <c r="H23" s="401">
        <f>IF(ISNUMBER((Datos!M23-Datos!W23)/Datos!W23),(Datos!M23-Datos!W23)/Datos!W23," - ")</f>
        <v>3.3661740558292283E-2</v>
      </c>
      <c r="I23" s="402">
        <f>IF(ISNUMBER((Tasas!C23-Datos!BE23)/Datos!BE23),(Tasas!C23-Datos!BE23)/Datos!BE23," - ")</f>
        <v>-0.1083455433873708</v>
      </c>
      <c r="J23" s="400">
        <f>IF(ISNUMBER((Tasas!D23-Datos!BF23)/Datos!BF23),(Tasas!D23-Datos!BF23)/Datos!BF23," - ")</f>
        <v>-8.3792105823700877E-2</v>
      </c>
      <c r="K23" s="403">
        <f>IF(ISNUMBER((Tasas!E23-Datos!BG23)/Datos!BG23),(Tasas!E23-Datos!BG23)/Datos!BG23," - ")</f>
        <v>-6.1264662214652578E-2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-3.9790252930289947E-2</v>
      </c>
      <c r="E31" s="409">
        <f>IF(ISNUMBER(
   IF(J_V="SI",(Datos!J31-Datos!T31)/Datos!T31,(Datos!J31+Datos!Z31-(Datos!T31+Datos!AH31))/(Datos!T31+Datos!AH31))
     ),IF(J_V="SI",(Datos!J31-Datos!T31)/Datos!T31,(Datos!J31+Datos!Z31-(Datos!T31+Datos!AH31))/(Datos!T31+Datos!AH31))," - ")</f>
        <v>0.21295896328293737</v>
      </c>
      <c r="F31" s="409">
        <f>IF(ISNUMBER(
   IF(J_V="SI",(Datos!K31-Datos!U31)/Datos!U31,(Datos!K31+Datos!AA31-(Datos!U31+Datos!AI31))/(Datos!U31+Datos!AI31))
     ),IF(J_V="SI",(Datos!K31-Datos!U31)/Datos!U31,(Datos!K31+Datos!AA31-(Datos!U31+Datos!AI31))/(Datos!U31+Datos!AI31))," - ")</f>
        <v>6.8361581920903955E-2</v>
      </c>
      <c r="G31" s="410">
        <f>IF(ISNUMBER(
   IF(J_V="SI",(Datos!L31-Datos!V31)/Datos!V31,(Datos!L31+Datos!AB31-(Datos!V31+Datos!AJ31))/(Datos!V31+Datos!AJ31))
     ),IF(J_V="SI",(Datos!L31-Datos!V31)/Datos!V31,(Datos!L31+Datos!AB31-(Datos!V31+Datos!AJ31))/(Datos!V31+Datos!AJ31))," - ")</f>
        <v>3.8684281965432991E-2</v>
      </c>
      <c r="H31" s="411">
        <f>IF(ISNUMBER((Datos!M31-Datos!W31)/Datos!W31),(Datos!M31-Datos!W31)/Datos!W31," - ")</f>
        <v>-8.8303045815203485E-2</v>
      </c>
      <c r="I31" s="408">
        <f>IF(ISNUMBER((Tasas!C31-Datos!BE31)/Datos!BE31),(Tasas!C31-Datos!BE31)/Datos!BE31," - ")</f>
        <v>-2.7778329413634947E-2</v>
      </c>
      <c r="J31" s="409">
        <f>IF(ISNUMBER((Tasas!D31-Datos!BF31)/Datos!BF31),(Tasas!D31-Datos!BF31)/Datos!BF31," - ")</f>
        <v>2.9036175255107006E-2</v>
      </c>
      <c r="K31" s="410">
        <f>IF(ISNUMBER((Tasas!E31-Datos!BG31)/Datos!BG31),(Tasas!E31-Datos!BG31)/Datos!BG31," - ")</f>
        <v>-2.1323331401160144E-2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2.3436081887140379E-2</v>
      </c>
      <c r="E33" s="303">
        <f t="shared" si="1"/>
        <v>0.7966217288180244</v>
      </c>
      <c r="F33" s="303">
        <f t="shared" si="1"/>
        <v>0.17100410016745837</v>
      </c>
      <c r="G33" s="304">
        <f t="shared" si="1"/>
        <v>0.129966145831273</v>
      </c>
      <c r="H33" s="310">
        <f t="shared" si="1"/>
        <v>0.17807118525493323</v>
      </c>
      <c r="I33" s="302">
        <f t="shared" si="1"/>
        <v>0.10576392131829139</v>
      </c>
      <c r="J33" s="303">
        <f t="shared" si="1"/>
        <v>0.33583183158325058</v>
      </c>
      <c r="K33" s="304">
        <f t="shared" si="1"/>
        <v>6.3196789499065015E-2</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jFEbYA6q5y1dwvvce/OGvtWlvvfkIL9fG5+bOaewczWW+uJwo+AJoh+Pawd1ZXFibkXD3B+v7Vq1Qwp5sChaqA==" saltValue="ZuHBRNYaN81sdAnnsad4+w=="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2023-05-06T06:59:37Z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